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68FDAD52-1503-4E49-9E21-B54268DD544E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limiti assunzioni" sheetId="5" r:id="rId1"/>
    <sheet name="spesa personale" sheetId="7" r:id="rId2"/>
    <sheet name="grafico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0" i="7" l="1"/>
  <c r="D99" i="7"/>
  <c r="D98" i="7"/>
  <c r="D97" i="7"/>
  <c r="D96" i="7"/>
  <c r="D95" i="7"/>
  <c r="D90" i="7"/>
  <c r="D89" i="7"/>
  <c r="D88" i="7"/>
  <c r="D87" i="7"/>
  <c r="D86" i="7"/>
  <c r="D85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7" i="5"/>
  <c r="D46" i="5"/>
  <c r="D45" i="5"/>
  <c r="D44" i="5"/>
  <c r="B69" i="7"/>
  <c r="C69" i="7" s="1"/>
  <c r="B68" i="7"/>
  <c r="B62" i="7"/>
  <c r="C62" i="7" s="1"/>
  <c r="B61" i="7"/>
  <c r="G70" i="7"/>
  <c r="B67" i="7"/>
  <c r="C67" i="7" s="1"/>
  <c r="B66" i="7"/>
  <c r="B64" i="7"/>
  <c r="C64" i="7" s="1"/>
  <c r="C61" i="7"/>
  <c r="B60" i="7"/>
  <c r="C60" i="7" s="1"/>
  <c r="B59" i="7"/>
  <c r="C59" i="7" s="1"/>
  <c r="B58" i="7"/>
  <c r="C58" i="7" s="1"/>
  <c r="B56" i="7"/>
  <c r="C56" i="7" s="1"/>
  <c r="B55" i="7"/>
  <c r="C55" i="7" s="1"/>
  <c r="B54" i="7"/>
  <c r="C54" i="7" s="1"/>
  <c r="B53" i="7"/>
  <c r="C53" i="7" s="1"/>
  <c r="B51" i="7"/>
  <c r="C51" i="7" s="1"/>
  <c r="B49" i="7"/>
  <c r="C49" i="7" s="1"/>
  <c r="B48" i="7"/>
  <c r="C48" i="7" s="1"/>
  <c r="B47" i="7"/>
  <c r="C47" i="7" s="1"/>
  <c r="B46" i="7"/>
  <c r="C46" i="7" s="1"/>
  <c r="C66" i="7"/>
  <c r="C68" i="7"/>
  <c r="B65" i="7"/>
  <c r="C65" i="7" s="1"/>
  <c r="B63" i="7"/>
  <c r="C63" i="7" s="1"/>
  <c r="B57" i="7"/>
  <c r="C57" i="7" s="1"/>
  <c r="B52" i="7"/>
  <c r="C52" i="7" s="1"/>
  <c r="B50" i="7"/>
  <c r="C50" i="7" s="1"/>
  <c r="B45" i="7"/>
  <c r="E48" i="7" l="1"/>
  <c r="E69" i="7"/>
  <c r="F69" i="7" s="1"/>
  <c r="H69" i="7" s="1"/>
  <c r="E47" i="7"/>
  <c r="F47" i="7" s="1"/>
  <c r="H47" i="7" s="1"/>
  <c r="E62" i="7"/>
  <c r="F62" i="7" s="1"/>
  <c r="H62" i="7" s="1"/>
  <c r="E57" i="7"/>
  <c r="F57" i="7" s="1"/>
  <c r="H57" i="7" s="1"/>
  <c r="E49" i="7"/>
  <c r="F49" i="7" s="1"/>
  <c r="H49" i="7" s="1"/>
  <c r="E60" i="7"/>
  <c r="F60" i="7" s="1"/>
  <c r="H60" i="7" s="1"/>
  <c r="E51" i="7"/>
  <c r="F51" i="7" s="1"/>
  <c r="H51" i="7" s="1"/>
  <c r="E61" i="7"/>
  <c r="F61" i="7" s="1"/>
  <c r="H61" i="7" s="1"/>
  <c r="E65" i="7"/>
  <c r="F65" i="7" s="1"/>
  <c r="H65" i="7" s="1"/>
  <c r="E59" i="7"/>
  <c r="F59" i="7" s="1"/>
  <c r="H59" i="7" s="1"/>
  <c r="E53" i="7"/>
  <c r="F53" i="7" s="1"/>
  <c r="H53" i="7" s="1"/>
  <c r="E64" i="7"/>
  <c r="F64" i="7" s="1"/>
  <c r="H64" i="7" s="1"/>
  <c r="E68" i="7"/>
  <c r="F68" i="7" s="1"/>
  <c r="H68" i="7" s="1"/>
  <c r="E66" i="7"/>
  <c r="F66" i="7" s="1"/>
  <c r="H66" i="7" s="1"/>
  <c r="E55" i="7"/>
  <c r="F55" i="7" s="1"/>
  <c r="H55" i="7" s="1"/>
  <c r="E56" i="7"/>
  <c r="F56" i="7" s="1"/>
  <c r="H56" i="7" s="1"/>
  <c r="E46" i="7"/>
  <c r="F46" i="7" s="1"/>
  <c r="H46" i="7" s="1"/>
  <c r="E50" i="7"/>
  <c r="F50" i="7" s="1"/>
  <c r="H50" i="7" s="1"/>
  <c r="E54" i="7"/>
  <c r="F54" i="7" s="1"/>
  <c r="H54" i="7" s="1"/>
  <c r="E58" i="7"/>
  <c r="F58" i="7" s="1"/>
  <c r="H58" i="7" s="1"/>
  <c r="E63" i="7"/>
  <c r="F63" i="7" s="1"/>
  <c r="H63" i="7" s="1"/>
  <c r="E67" i="7"/>
  <c r="F67" i="7" s="1"/>
  <c r="H67" i="7" s="1"/>
  <c r="F48" i="7"/>
  <c r="H48" i="7" s="1"/>
  <c r="E52" i="7"/>
  <c r="F52" i="7" s="1"/>
  <c r="H52" i="7" s="1"/>
  <c r="C45" i="7"/>
  <c r="J36" i="5"/>
  <c r="G101" i="7"/>
  <c r="C100" i="7"/>
  <c r="C99" i="7"/>
  <c r="C98" i="7"/>
  <c r="C97" i="7"/>
  <c r="C96" i="7"/>
  <c r="C95" i="7"/>
  <c r="G91" i="7"/>
  <c r="C90" i="7"/>
  <c r="C89" i="7"/>
  <c r="C88" i="7"/>
  <c r="C87" i="7"/>
  <c r="C86" i="7"/>
  <c r="C85" i="7"/>
  <c r="D31" i="7"/>
  <c r="C31" i="7"/>
  <c r="E31" i="7"/>
  <c r="F31" i="7"/>
  <c r="F11" i="7"/>
  <c r="E11" i="7"/>
  <c r="D11" i="7"/>
  <c r="C11" i="7"/>
  <c r="B3" i="8"/>
  <c r="B2" i="8"/>
  <c r="B5" i="8"/>
  <c r="E45" i="7" l="1"/>
  <c r="F45" i="7" s="1"/>
  <c r="H45" i="7" s="1"/>
  <c r="H70" i="7" s="1"/>
  <c r="E85" i="7"/>
  <c r="F85" i="7" s="1"/>
  <c r="H85" i="7" s="1"/>
  <c r="E88" i="7"/>
  <c r="F88" i="7" s="1"/>
  <c r="H88" i="7" s="1"/>
  <c r="E98" i="7"/>
  <c r="F98" i="7" s="1"/>
  <c r="H98" i="7" s="1"/>
  <c r="E95" i="7"/>
  <c r="F95" i="7" s="1"/>
  <c r="H95" i="7" s="1"/>
  <c r="E90" i="7"/>
  <c r="F90" i="7" s="1"/>
  <c r="H90" i="7" s="1"/>
  <c r="E100" i="7"/>
  <c r="F100" i="7" s="1"/>
  <c r="H100" i="7" s="1"/>
  <c r="E87" i="7"/>
  <c r="F87" i="7" s="1"/>
  <c r="H87" i="7" s="1"/>
  <c r="E97" i="7"/>
  <c r="F97" i="7" s="1"/>
  <c r="H97" i="7" s="1"/>
  <c r="E89" i="7"/>
  <c r="F89" i="7" s="1"/>
  <c r="H89" i="7" s="1"/>
  <c r="E99" i="7"/>
  <c r="F99" i="7" s="1"/>
  <c r="H99" i="7" s="1"/>
  <c r="E86" i="7"/>
  <c r="F86" i="7" s="1"/>
  <c r="H86" i="7" s="1"/>
  <c r="E96" i="7"/>
  <c r="F96" i="7" s="1"/>
  <c r="H96" i="7" s="1"/>
  <c r="H59" i="5"/>
  <c r="G48" i="5"/>
  <c r="D35" i="5"/>
  <c r="H101" i="7" l="1"/>
  <c r="H91" i="7"/>
  <c r="D30" i="5"/>
  <c r="D32" i="5" s="1"/>
  <c r="C47" i="5"/>
  <c r="C46" i="5"/>
  <c r="C44" i="5"/>
  <c r="C45" i="5"/>
  <c r="D26" i="5"/>
  <c r="D25" i="5"/>
  <c r="D24" i="5"/>
  <c r="D23" i="5"/>
  <c r="D21" i="5"/>
  <c r="D22" i="5"/>
  <c r="H103" i="7" l="1"/>
  <c r="D33" i="5"/>
  <c r="D38" i="5" s="1"/>
  <c r="J33" i="5" s="1"/>
  <c r="J32" i="5"/>
  <c r="E44" i="5"/>
  <c r="F44" i="5" s="1"/>
  <c r="H44" i="5" s="1"/>
  <c r="E47" i="5"/>
  <c r="F47" i="5" s="1"/>
  <c r="H47" i="5" s="1"/>
  <c r="I47" i="5" s="1"/>
  <c r="E45" i="5"/>
  <c r="F45" i="5" s="1"/>
  <c r="H45" i="5" s="1"/>
  <c r="I45" i="5" s="1"/>
  <c r="E46" i="5"/>
  <c r="F46" i="5" s="1"/>
  <c r="H46" i="5" s="1"/>
  <c r="D27" i="5"/>
  <c r="D36" i="5"/>
  <c r="J34" i="5" l="1"/>
  <c r="I44" i="5"/>
  <c r="H48" i="5"/>
  <c r="F53" i="5" s="1"/>
  <c r="F51" i="5" l="1"/>
  <c r="F52" i="5" s="1"/>
  <c r="B4" i="8"/>
  <c r="F57" i="5"/>
  <c r="F59" i="5"/>
  <c r="F60" i="5" s="1"/>
  <c r="I46" i="5"/>
  <c r="I48" i="5" s="1"/>
  <c r="F58" i="5" l="1"/>
  <c r="B6" i="8"/>
  <c r="F54" i="5"/>
</calcChain>
</file>

<file path=xl/sharedStrings.xml><?xml version="1.0" encoding="utf-8"?>
<sst xmlns="http://schemas.openxmlformats.org/spreadsheetml/2006/main" count="210" uniqueCount="146">
  <si>
    <t>totale</t>
  </si>
  <si>
    <t>tabellare</t>
  </si>
  <si>
    <t>tredicesima</t>
  </si>
  <si>
    <t>assunzioni programmate</t>
  </si>
  <si>
    <t>costo assunzioni</t>
  </si>
  <si>
    <t>anno</t>
  </si>
  <si>
    <t>perc. applicabile</t>
  </si>
  <si>
    <t>totale disponibile</t>
  </si>
  <si>
    <t>media</t>
  </si>
  <si>
    <t>comuni per fasce demografiche</t>
  </si>
  <si>
    <t>meno di 1.000 abitanti</t>
  </si>
  <si>
    <t>da 1.000 a 1.999 abitanti</t>
  </si>
  <si>
    <t>da 2.000 a 2.999 abitanti</t>
  </si>
  <si>
    <t>da 3.000 a 4.999 abitanti</t>
  </si>
  <si>
    <t>da 5.000 a 9.999 abitanti</t>
  </si>
  <si>
    <t>da 10.000 a 59.999 abitanti</t>
  </si>
  <si>
    <t>da 60.000 a 249.999 abitanti</t>
  </si>
  <si>
    <t>da 250.000 a 1.499.999 abitanti</t>
  </si>
  <si>
    <t>con e oltre 1.500.000 abitanti</t>
  </si>
  <si>
    <t>valore soglia</t>
  </si>
  <si>
    <t>percentuali massime incremento</t>
  </si>
  <si>
    <t>valori soglia di rientro per la maggiore spesa</t>
  </si>
  <si>
    <t>eventuale incremento massimo spesa personale</t>
  </si>
  <si>
    <t>percentuale incremento applicabile</t>
  </si>
  <si>
    <t>valore entrate correnti da rapportare</t>
  </si>
  <si>
    <t>eventuale ulteriore incremento dalle facoltà assunzionali</t>
  </si>
  <si>
    <t>www.carmignaniconsulenza.com</t>
  </si>
  <si>
    <t>facoltà assunzionali lorde diponibili del quinquennio precedente</t>
  </si>
  <si>
    <t>eventuali altre spese di personale da aggiungere</t>
  </si>
  <si>
    <t>totali</t>
  </si>
  <si>
    <t>costo al lordo dell'IRAP</t>
  </si>
  <si>
    <t>oneri</t>
  </si>
  <si>
    <t>limite teorico spesa di personale lorda senza IRAP</t>
  </si>
  <si>
    <t>limite effettivo spesa di personale lorda senza IRAP</t>
  </si>
  <si>
    <t>nuove assunzioni da programmare per l'anno corrente calcolate sul costo personale lordo senza l'IRAP</t>
  </si>
  <si>
    <t>resti turn over</t>
  </si>
  <si>
    <t>nuovo rapporto spesa personale su entrate correnti</t>
  </si>
  <si>
    <t>rapporto spesa personale su entrate correnti</t>
  </si>
  <si>
    <t>ricalcolo limite spesa di personale lorda senza IRAP</t>
  </si>
  <si>
    <t>spesa del personale lorda senza IRAP prevista anno corrente</t>
  </si>
  <si>
    <t>spesa del personale lorda senza IRAP prevista anno successivo</t>
  </si>
  <si>
    <t>spesa personale disponibile per assunzioni in deroga rispetto al limite calcolata all'anno di riferimento</t>
  </si>
  <si>
    <t>nuova spesa di personale lorda senza IRAP programmata rispetto l'anno di riferimento</t>
  </si>
  <si>
    <t>nuova spesa di personale lorda senza IRAP programmata rispetto l'anno corrente</t>
  </si>
  <si>
    <t>nuova spesa di personale lorda senza IRAP programmata rispetto l'anno successivo</t>
  </si>
  <si>
    <t>calcolo delle possibilità di spesa di personale rispetto i limiti previsti</t>
  </si>
  <si>
    <t>accertamenti entrate correnti triennio di riferimento</t>
  </si>
  <si>
    <t>N.B. in caso di percentuale intermedia occorre calcolare il nuovo obiettivo e il rapporto tra spesa personale e entrate correnti unicamente rispetto l'anno di riferimento</t>
  </si>
  <si>
    <t>margine teorico rispetto al limite di spesa di personale proiettato sull'anno corrente</t>
  </si>
  <si>
    <t>margine teorico rispetto al limite di spesa di personale proiettato sull'anno successivo</t>
  </si>
  <si>
    <t>fondo crediti dubbia esigibilità anno di riferimento</t>
  </si>
  <si>
    <t>spesa personale prevista anno corrente al netto delle componenti escluse</t>
  </si>
  <si>
    <t>*Ai fini della compilazione vanno inseriti i dati in tutte le celle di colore verde, le celle di colore rosso invece sono campi calcolati</t>
  </si>
  <si>
    <t>spesa del personale lorda senza IRAP anno 2018 (ai sensi del DL 34/2019)</t>
  </si>
  <si>
    <t>spesa del personale lorda senza IRAP anno di riferimento</t>
  </si>
  <si>
    <t>AREA OPERATORI</t>
  </si>
  <si>
    <t>AREA OPERATORI E.</t>
  </si>
  <si>
    <t>AREA ISTRUTTORI</t>
  </si>
  <si>
    <t>AREA FUNZIONARI E.Q.</t>
  </si>
  <si>
    <t>spesa di personale ai sensi dell'art. 1 c. 557 quater o 562 della L. 296/2006</t>
  </si>
  <si>
    <t>spesa personale complessiva disponibile per nuove assunzioni in deroga</t>
  </si>
  <si>
    <t>margine nuova spesa di personale ancora disponibile rispetto al limite dell'anno di riferimento</t>
  </si>
  <si>
    <t>proiezioni teoriche del rispetto del limite della spesa di personale sulle annualità successive</t>
  </si>
  <si>
    <t>spesa turn over non utilizzato successivo all'anno preso a base di calcolo</t>
  </si>
  <si>
    <t>eventuali altre voci di spesa del personale da decurtare</t>
  </si>
  <si>
    <t>Spesa di personale ai sensi dell’art. 33 c. 2 del dl 34/2019</t>
  </si>
  <si>
    <t>Anni</t>
  </si>
  <si>
    <t>Spesa di personale</t>
  </si>
  <si>
    <t>Componenti escluse</t>
  </si>
  <si>
    <t>Arretrati contrattuali</t>
  </si>
  <si>
    <t>Spese di personale rimborsate</t>
  </si>
  <si>
    <t>Spese segretario rimborsate</t>
  </si>
  <si>
    <t>Incentivi tecnici</t>
  </si>
  <si>
    <t>Totali</t>
  </si>
  <si>
    <t>Rinnovi contrattuali 2018 e 2022</t>
  </si>
  <si>
    <t>Spesa obbligatoria catergorie protette</t>
  </si>
  <si>
    <t>Diritti di rogito</t>
  </si>
  <si>
    <t>Oneri previdenza integrativa</t>
  </si>
  <si>
    <t>spesa personale annualità di riferimento al netto delle componenti escluse</t>
  </si>
  <si>
    <t>Spesa di personale ai sensi dell’art. 1 c. 557 quater (o 562 per gli Enti sotto i 1.000 abitanti, anno di riferimento 2008) della L. 296/2006</t>
  </si>
  <si>
    <t>Complessiva Lorda</t>
  </si>
  <si>
    <t>Entrate correnti</t>
  </si>
  <si>
    <t xml:space="preserve">Spesa per assunzioni degli Enti virtuosi effettuate in deroga ai limiti della Legge Finanziaria </t>
  </si>
  <si>
    <t>Fondo crediti dubbia esigibilità dell'ultima annualità delle entrate considerate</t>
  </si>
  <si>
    <t>Spese per assunzioni flessibili anno 2009</t>
  </si>
  <si>
    <t>Spese per assunzioni flessibili anno corrente</t>
  </si>
  <si>
    <t>Verifica rispetto del limite</t>
  </si>
  <si>
    <t>Spese assunzioni art. 208 c.d.s.</t>
  </si>
  <si>
    <t>spesa del personale lorda senza IRAP prevista anno corrente dl 34/2019</t>
  </si>
  <si>
    <t>limite effettivo spesa di personale lorda senza IRAP dl 34/2019</t>
  </si>
  <si>
    <t>nuova spesa di personale lorda senza IRAP programmata anno corrente dl 34/2019</t>
  </si>
  <si>
    <t>spesa personale annualità di riferimento al netto componenti escluse l 296/2006</t>
  </si>
  <si>
    <t>spesa personale prevista anno corrente al netto componenti escluse l 296/2006</t>
  </si>
  <si>
    <t>IRAP</t>
  </si>
  <si>
    <t>Spesa di personale flessibile</t>
  </si>
  <si>
    <t>anno 2009</t>
  </si>
  <si>
    <t>anno corrente</t>
  </si>
  <si>
    <t>spesa di personale ai sensi dell'art. 33 c. 2 DL 34/2019</t>
  </si>
  <si>
    <t>area professionale</t>
  </si>
  <si>
    <t>oneri e IRAP</t>
  </si>
  <si>
    <t>costo lordo</t>
  </si>
  <si>
    <t>cessazioni</t>
  </si>
  <si>
    <t>Cessazioni verificatesi dal 2020 ad oggi</t>
  </si>
  <si>
    <t>categoria (area p.)</t>
  </si>
  <si>
    <t>A</t>
  </si>
  <si>
    <t>C</t>
  </si>
  <si>
    <t>B1</t>
  </si>
  <si>
    <t>B3</t>
  </si>
  <si>
    <t>D1</t>
  </si>
  <si>
    <t>D3</t>
  </si>
  <si>
    <t>Assunzioni in deroga effettuate dal 2020 ad oggi, solo per Enti virtuosi al dl 34/2019</t>
  </si>
  <si>
    <t>tabellare CCNL del  31.07.2009</t>
  </si>
  <si>
    <t xml:space="preserve">CALCOLO DIFFERENZIALE DEL COSTO TRA LE CESSAZIONI E LE ASSUNZIONI IN DEROGA ALLA LEGGE FINANZIARIA 296/2006 </t>
  </si>
  <si>
    <t>Differenza tra spesa assunzioni in deroga realizzate e cessazioni verificatesi da escludere nel calcolo del limite di spesa triennio 2011/2013 (o anno 2008)</t>
  </si>
  <si>
    <t>assunzioni</t>
  </si>
  <si>
    <t>DATI RELATIVI ALLA SPESA DI PERSONALE ANNUALITA' 2025 DEL COMUNE DI ESEMPIO</t>
  </si>
  <si>
    <t xml:space="preserve">www.carmignaniconsulenza.com </t>
  </si>
  <si>
    <t>assunzioni flessibili, art. 9 c. 28 del dl 78/2010</t>
  </si>
  <si>
    <t>Spese formazione e missioni</t>
  </si>
  <si>
    <t>differenza tabellare CCNL 2022 e 2009</t>
  </si>
  <si>
    <t>A1</t>
  </si>
  <si>
    <t>A2</t>
  </si>
  <si>
    <t>A3</t>
  </si>
  <si>
    <t>A4</t>
  </si>
  <si>
    <t>A5</t>
  </si>
  <si>
    <t>B2</t>
  </si>
  <si>
    <t>B4</t>
  </si>
  <si>
    <t>B5</t>
  </si>
  <si>
    <t>B6</t>
  </si>
  <si>
    <t>B7</t>
  </si>
  <si>
    <t>C1</t>
  </si>
  <si>
    <t>C2</t>
  </si>
  <si>
    <t>C3</t>
  </si>
  <si>
    <t>C4</t>
  </si>
  <si>
    <t>C5</t>
  </si>
  <si>
    <t>D2</t>
  </si>
  <si>
    <t>D4</t>
  </si>
  <si>
    <t>D5</t>
  </si>
  <si>
    <t>D6</t>
  </si>
  <si>
    <t>D7</t>
  </si>
  <si>
    <t>C6</t>
  </si>
  <si>
    <t>DATI RELATIVI ALLA SPESA DI PERSONALE ANNUALITA' 2025 DEL COMUNE DI _________________________________</t>
  </si>
  <si>
    <t>NUOVA PROGRAMMAZIONE TRIENNALE DELLE ASSUNZIONI DI PERSONALE ANNUALITA' 2025 DEL COMUNE DI _________________________________</t>
  </si>
  <si>
    <t xml:space="preserve">CALCOLO COSTO DEI RINNOVI CONTRATTUALI 2018 E 2022 IN DEROGA ALL'ART. 1 C. 557 E 562 DELLA L. 296/2006 </t>
  </si>
  <si>
    <t>personale</t>
  </si>
  <si>
    <t>Personale in servizio anno corrente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</si>
</sst>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-2]\ #,##0.00;[Red]\-[$€-2]\ #,##0.00"/>
    <numFmt numFmtId="166" formatCode="0.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u/>
      <sz val="9"/>
      <color theme="10"/>
      <name val="Calibri"/>
      <family val="2"/>
      <scheme val="minor"/>
    </font>
    <font>
      <b/>
      <sz val="9"/>
      <color indexed="8"/>
      <name val="Calibri"/>
      <family val="2"/>
      <charset val="1"/>
    </font>
    <font>
      <i/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i/>
      <sz val="9"/>
      <color indexed="8"/>
      <name val="Calibri"/>
      <family val="2"/>
    </font>
    <font>
      <i/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</patternFill>
    </fill>
    <fill>
      <patternFill patternType="solid">
        <fgColor indexed="10"/>
        <bgColor indexed="60"/>
      </patternFill>
    </fill>
    <fill>
      <patternFill patternType="darkUp">
        <bgColor theme="0"/>
      </patternFill>
    </fill>
    <fill>
      <patternFill patternType="darkDown">
        <bgColor theme="0"/>
      </patternFill>
    </fill>
    <fill>
      <patternFill patternType="darkDown"/>
    </fill>
    <fill>
      <patternFill patternType="solid">
        <fgColor rgb="FFFFFF00"/>
        <bgColor indexed="64"/>
      </patternFill>
    </fill>
    <fill>
      <patternFill patternType="solid">
        <fgColor rgb="FFFFFF00"/>
        <bgColor indexed="60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4" fillId="5" borderId="5" applyNumberFormat="0" applyAlignment="0" applyProtection="0"/>
    <xf numFmtId="0" fontId="5" fillId="0" borderId="0" applyNumberFormat="0" applyFill="0" applyBorder="0" applyAlignment="0" applyProtection="0"/>
  </cellStyleXfs>
  <cellXfs count="152">
    <xf numFmtId="0" fontId="0" fillId="0" borderId="0" xfId="0"/>
    <xf numFmtId="0" fontId="7" fillId="0" borderId="0" xfId="0" applyFont="1" applyAlignment="1">
      <alignment horizontal="left" vertical="top" wrapText="1"/>
    </xf>
    <xf numFmtId="44" fontId="7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left" vertical="top" wrapText="1"/>
    </xf>
    <xf numFmtId="44" fontId="7" fillId="0" borderId="0" xfId="0" applyNumberFormat="1" applyFont="1" applyAlignment="1">
      <alignment horizontal="left" vertical="top" wrapText="1"/>
    </xf>
    <xf numFmtId="10" fontId="6" fillId="0" borderId="1" xfId="0" applyNumberFormat="1" applyFont="1" applyBorder="1" applyAlignment="1">
      <alignment horizontal="left" vertical="top" wrapText="1"/>
    </xf>
    <xf numFmtId="10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4" fontId="6" fillId="4" borderId="1" xfId="0" applyNumberFormat="1" applyFont="1" applyFill="1" applyBorder="1" applyAlignment="1">
      <alignment horizontal="left" vertical="top" wrapText="1"/>
    </xf>
    <xf numFmtId="44" fontId="7" fillId="4" borderId="1" xfId="1" applyFont="1" applyFill="1" applyBorder="1" applyAlignment="1" applyProtection="1">
      <alignment horizontal="left" vertical="top" wrapText="1"/>
    </xf>
    <xf numFmtId="10" fontId="7" fillId="2" borderId="1" xfId="2" applyNumberFormat="1" applyFont="1" applyFill="1" applyBorder="1" applyAlignment="1" applyProtection="1">
      <alignment horizontal="left" vertical="top" wrapText="1"/>
      <protection locked="0"/>
    </xf>
    <xf numFmtId="44" fontId="8" fillId="4" borderId="1" xfId="1" applyFont="1" applyFill="1" applyBorder="1" applyAlignment="1" applyProtection="1">
      <alignment horizontal="left" vertical="top" wrapText="1"/>
    </xf>
    <xf numFmtId="10" fontId="9" fillId="4" borderId="1" xfId="2" applyNumberFormat="1" applyFont="1" applyFill="1" applyBorder="1" applyAlignment="1" applyProtection="1">
      <alignment horizontal="left" vertical="top" wrapText="1"/>
    </xf>
    <xf numFmtId="44" fontId="6" fillId="4" borderId="1" xfId="1" applyFont="1" applyFill="1" applyBorder="1" applyAlignment="1" applyProtection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4" fontId="7" fillId="0" borderId="1" xfId="1" applyFont="1" applyBorder="1" applyAlignment="1">
      <alignment horizontal="left" vertical="top" wrapText="1"/>
    </xf>
    <xf numFmtId="10" fontId="7" fillId="0" borderId="1" xfId="2" applyNumberFormat="1" applyFont="1" applyBorder="1" applyAlignment="1">
      <alignment horizontal="left" vertical="top" wrapText="1"/>
    </xf>
    <xf numFmtId="164" fontId="9" fillId="2" borderId="1" xfId="3" applyFont="1" applyFill="1" applyBorder="1" applyAlignment="1" applyProtection="1">
      <alignment horizontal="left" vertical="top" wrapText="1"/>
      <protection locked="0"/>
    </xf>
    <xf numFmtId="44" fontId="7" fillId="0" borderId="1" xfId="0" applyNumberFormat="1" applyFont="1" applyBorder="1" applyAlignment="1">
      <alignment horizontal="left" vertical="top" wrapText="1"/>
    </xf>
    <xf numFmtId="44" fontId="8" fillId="0" borderId="1" xfId="1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top" wrapText="1"/>
    </xf>
    <xf numFmtId="44" fontId="9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left" vertical="top" wrapText="1"/>
    </xf>
    <xf numFmtId="44" fontId="9" fillId="0" borderId="0" xfId="0" applyNumberFormat="1" applyFont="1" applyAlignment="1">
      <alignment horizontal="left" vertical="top" wrapText="1"/>
    </xf>
    <xf numFmtId="44" fontId="11" fillId="6" borderId="6" xfId="1" applyFont="1" applyFill="1" applyBorder="1" applyAlignment="1" applyProtection="1">
      <alignment horizontal="left" vertical="top" wrapText="1"/>
    </xf>
    <xf numFmtId="166" fontId="7" fillId="0" borderId="0" xfId="2" applyNumberFormat="1" applyFont="1" applyAlignment="1">
      <alignment horizontal="left" vertical="top" wrapText="1"/>
    </xf>
    <xf numFmtId="44" fontId="7" fillId="0" borderId="0" xfId="1" applyFont="1" applyAlignment="1">
      <alignment horizontal="left" vertical="top" wrapText="1"/>
    </xf>
    <xf numFmtId="10" fontId="6" fillId="4" borderId="1" xfId="2" applyNumberFormat="1" applyFont="1" applyFill="1" applyBorder="1" applyAlignment="1" applyProtection="1">
      <alignment horizontal="left" vertical="top" wrapText="1"/>
    </xf>
    <xf numFmtId="44" fontId="13" fillId="6" borderId="6" xfId="1" applyFont="1" applyFill="1" applyBorder="1" applyAlignment="1" applyProtection="1">
      <alignment horizontal="left" vertical="top" wrapText="1"/>
    </xf>
    <xf numFmtId="44" fontId="12" fillId="6" borderId="6" xfId="1" applyFont="1" applyFill="1" applyBorder="1" applyAlignment="1" applyProtection="1">
      <alignment horizontal="left" vertical="top" wrapText="1"/>
    </xf>
    <xf numFmtId="0" fontId="11" fillId="0" borderId="0" xfId="0" applyFont="1" applyAlignment="1">
      <alignment horizontal="left" vertical="top" wrapText="1"/>
    </xf>
    <xf numFmtId="10" fontId="7" fillId="0" borderId="0" xfId="2" applyNumberFormat="1" applyFont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10" fontId="7" fillId="7" borderId="1" xfId="0" applyNumberFormat="1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left" vertical="top" wrapText="1"/>
    </xf>
    <xf numFmtId="165" fontId="7" fillId="8" borderId="1" xfId="0" applyNumberFormat="1" applyFont="1" applyFill="1" applyBorder="1" applyAlignment="1">
      <alignment horizontal="left" vertical="top" wrapText="1"/>
    </xf>
    <xf numFmtId="44" fontId="7" fillId="8" borderId="1" xfId="0" applyNumberFormat="1" applyFont="1" applyFill="1" applyBorder="1" applyAlignment="1">
      <alignment horizontal="left" vertical="top" wrapText="1"/>
    </xf>
    <xf numFmtId="9" fontId="7" fillId="8" borderId="1" xfId="0" applyNumberFormat="1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left" vertical="top" wrapText="1"/>
    </xf>
    <xf numFmtId="44" fontId="6" fillId="8" borderId="1" xfId="0" applyNumberFormat="1" applyFont="1" applyFill="1" applyBorder="1" applyAlignment="1">
      <alignment horizontal="left" vertical="top" wrapText="1"/>
    </xf>
    <xf numFmtId="10" fontId="7" fillId="8" borderId="1" xfId="2" applyNumberFormat="1" applyFont="1" applyFill="1" applyBorder="1" applyAlignment="1" applyProtection="1">
      <alignment horizontal="left" vertical="top" wrapText="1"/>
    </xf>
    <xf numFmtId="44" fontId="8" fillId="8" borderId="1" xfId="1" applyFont="1" applyFill="1" applyBorder="1" applyAlignment="1" applyProtection="1">
      <alignment horizontal="left" vertical="top" wrapText="1"/>
    </xf>
    <xf numFmtId="44" fontId="7" fillId="8" borderId="1" xfId="1" applyFont="1" applyFill="1" applyBorder="1" applyAlignment="1" applyProtection="1">
      <alignment horizontal="left" vertical="top" wrapText="1"/>
    </xf>
    <xf numFmtId="10" fontId="8" fillId="8" borderId="1" xfId="2" applyNumberFormat="1" applyFont="1" applyFill="1" applyBorder="1" applyAlignment="1" applyProtection="1">
      <alignment horizontal="left" vertical="top" wrapText="1"/>
    </xf>
    <xf numFmtId="44" fontId="8" fillId="9" borderId="1" xfId="1" applyFont="1" applyFill="1" applyBorder="1" applyAlignment="1" applyProtection="1">
      <alignment horizontal="left" vertical="top" wrapText="1"/>
    </xf>
    <xf numFmtId="0" fontId="3" fillId="0" borderId="1" xfId="0" applyFont="1" applyBorder="1" applyAlignment="1">
      <alignment vertical="top" wrapText="1"/>
    </xf>
    <xf numFmtId="44" fontId="3" fillId="0" borderId="1" xfId="0" applyNumberFormat="1" applyFont="1" applyBorder="1"/>
    <xf numFmtId="44" fontId="15" fillId="6" borderId="7" xfId="1" applyFont="1" applyFill="1" applyBorder="1" applyAlignment="1" applyProtection="1">
      <alignment horizontal="left" vertical="top" wrapText="1"/>
    </xf>
    <xf numFmtId="44" fontId="11" fillId="11" borderId="6" xfId="1" applyFont="1" applyFill="1" applyBorder="1" applyAlignment="1" applyProtection="1">
      <alignment horizontal="left" vertical="top" wrapText="1"/>
    </xf>
    <xf numFmtId="44" fontId="15" fillId="6" borderId="6" xfId="1" applyFont="1" applyFill="1" applyBorder="1" applyAlignment="1" applyProtection="1">
      <alignment horizontal="left" vertical="top" wrapText="1"/>
    </xf>
    <xf numFmtId="44" fontId="7" fillId="0" borderId="1" xfId="1" applyFont="1" applyBorder="1" applyAlignment="1" applyProtection="1">
      <alignment horizontal="left" vertical="top" wrapText="1"/>
    </xf>
    <xf numFmtId="10" fontId="7" fillId="0" borderId="1" xfId="2" applyNumberFormat="1" applyFont="1" applyBorder="1" applyAlignment="1" applyProtection="1">
      <alignment horizontal="left" vertical="top" wrapText="1"/>
    </xf>
    <xf numFmtId="0" fontId="6" fillId="16" borderId="1" xfId="0" applyFont="1" applyFill="1" applyBorder="1" applyAlignment="1">
      <alignment horizontal="left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164" fontId="6" fillId="2" borderId="1" xfId="3" applyFont="1" applyFill="1" applyBorder="1" applyAlignment="1" applyProtection="1">
      <alignment horizontal="left" vertical="top" wrapText="1"/>
      <protection locked="0"/>
    </xf>
    <xf numFmtId="0" fontId="7" fillId="0" borderId="0" xfId="0" applyFont="1"/>
    <xf numFmtId="0" fontId="6" fillId="9" borderId="1" xfId="0" applyFont="1" applyFill="1" applyBorder="1" applyAlignment="1">
      <alignment horizontal="left" vertical="top"/>
    </xf>
    <xf numFmtId="0" fontId="6" fillId="2" borderId="1" xfId="0" applyFont="1" applyFill="1" applyBorder="1" applyAlignment="1" applyProtection="1">
      <alignment horizontal="left" vertical="top"/>
      <protection locked="0"/>
    </xf>
    <xf numFmtId="0" fontId="7" fillId="0" borderId="1" xfId="0" applyFont="1" applyBorder="1" applyAlignment="1">
      <alignment horizontal="left" vertical="top"/>
    </xf>
    <xf numFmtId="44" fontId="7" fillId="9" borderId="1" xfId="1" applyFont="1" applyFill="1" applyBorder="1" applyAlignment="1" applyProtection="1">
      <alignment horizontal="left" vertical="top"/>
    </xf>
    <xf numFmtId="44" fontId="7" fillId="2" borderId="1" xfId="1" applyFont="1" applyFill="1" applyBorder="1" applyAlignment="1" applyProtection="1">
      <alignment horizontal="left" vertical="top"/>
      <protection locked="0"/>
    </xf>
    <xf numFmtId="44" fontId="6" fillId="9" borderId="1" xfId="1" applyFont="1" applyFill="1" applyBorder="1" applyAlignment="1" applyProtection="1">
      <alignment horizontal="left" vertical="top"/>
    </xf>
    <xf numFmtId="44" fontId="6" fillId="4" borderId="1" xfId="1" applyFont="1" applyFill="1" applyBorder="1" applyAlignment="1">
      <alignment horizontal="left" vertical="top"/>
    </xf>
    <xf numFmtId="0" fontId="6" fillId="2" borderId="1" xfId="3" applyNumberFormat="1" applyFont="1" applyFill="1" applyBorder="1" applyAlignment="1" applyProtection="1">
      <alignment horizontal="left" vertical="top"/>
      <protection locked="0"/>
    </xf>
    <xf numFmtId="44" fontId="7" fillId="2" borderId="1" xfId="1" applyFont="1" applyFill="1" applyBorder="1" applyAlignment="1" applyProtection="1">
      <alignment vertical="top"/>
      <protection locked="0"/>
    </xf>
    <xf numFmtId="0" fontId="7" fillId="0" borderId="2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1" xfId="0" applyFont="1" applyBorder="1"/>
    <xf numFmtId="44" fontId="6" fillId="4" borderId="1" xfId="1" applyFont="1" applyFill="1" applyBorder="1" applyProtection="1"/>
    <xf numFmtId="0" fontId="16" fillId="0" borderId="0" xfId="4" applyFont="1"/>
    <xf numFmtId="0" fontId="8" fillId="0" borderId="0" xfId="0" applyFont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1" fillId="10" borderId="6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12" fillId="0" borderId="6" xfId="0" applyFont="1" applyBorder="1" applyAlignment="1">
      <alignment horizontal="left" vertical="top" wrapText="1"/>
    </xf>
    <xf numFmtId="0" fontId="9" fillId="18" borderId="2" xfId="0" applyFont="1" applyFill="1" applyBorder="1" applyAlignment="1">
      <alignment horizontal="center" vertical="top" wrapText="1"/>
    </xf>
    <xf numFmtId="0" fontId="9" fillId="18" borderId="4" xfId="0" applyFont="1" applyFill="1" applyBorder="1" applyAlignment="1">
      <alignment horizontal="center" vertical="top" wrapText="1"/>
    </xf>
    <xf numFmtId="0" fontId="9" fillId="18" borderId="3" xfId="0" applyFont="1" applyFill="1" applyBorder="1" applyAlignment="1">
      <alignment horizontal="center" vertical="top" wrapText="1"/>
    </xf>
    <xf numFmtId="0" fontId="6" fillId="18" borderId="2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 wrapText="1"/>
    </xf>
    <xf numFmtId="0" fontId="6" fillId="18" borderId="3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6" fillId="16" borderId="2" xfId="0" applyFont="1" applyFill="1" applyBorder="1" applyAlignment="1">
      <alignment horizontal="center" vertical="top" wrapText="1"/>
    </xf>
    <xf numFmtId="0" fontId="6" fillId="16" borderId="4" xfId="0" applyFont="1" applyFill="1" applyBorder="1" applyAlignment="1">
      <alignment horizontal="center" vertical="top" wrapText="1"/>
    </xf>
    <xf numFmtId="0" fontId="6" fillId="16" borderId="3" xfId="0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0" fontId="6" fillId="16" borderId="1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3" borderId="0" xfId="0" applyFont="1" applyFill="1" applyAlignment="1" applyProtection="1">
      <alignment horizontal="center" vertical="top" wrapText="1"/>
      <protection locked="0"/>
    </xf>
    <xf numFmtId="0" fontId="6" fillId="8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0" fillId="0" borderId="0" xfId="4" applyFont="1" applyAlignment="1">
      <alignment horizontal="left" vertical="top" wrapText="1"/>
    </xf>
    <xf numFmtId="0" fontId="7" fillId="7" borderId="2" xfId="0" applyFont="1" applyFill="1" applyBorder="1" applyAlignment="1">
      <alignment horizontal="left" vertical="top" wrapText="1"/>
    </xf>
    <xf numFmtId="0" fontId="7" fillId="7" borderId="3" xfId="0" applyFont="1" applyFill="1" applyBorder="1" applyAlignment="1">
      <alignment horizontal="left" vertical="top" wrapText="1"/>
    </xf>
    <xf numFmtId="0" fontId="6" fillId="17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left" vertical="top" wrapText="1"/>
    </xf>
    <xf numFmtId="0" fontId="8" fillId="8" borderId="2" xfId="0" applyFont="1" applyFill="1" applyBorder="1" applyAlignment="1">
      <alignment horizontal="left" vertical="top" wrapText="1"/>
    </xf>
    <xf numFmtId="0" fontId="8" fillId="8" borderId="4" xfId="0" applyFont="1" applyFill="1" applyBorder="1" applyAlignment="1">
      <alignment horizontal="left" vertical="top" wrapText="1"/>
    </xf>
    <xf numFmtId="0" fontId="8" fillId="8" borderId="3" xfId="0" applyFont="1" applyFill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7" fillId="8" borderId="2" xfId="0" applyFont="1" applyFill="1" applyBorder="1" applyAlignment="1">
      <alignment horizontal="left" vertical="top" wrapText="1"/>
    </xf>
    <xf numFmtId="0" fontId="7" fillId="8" borderId="4" xfId="0" applyFont="1" applyFill="1" applyBorder="1" applyAlignment="1">
      <alignment horizontal="left" vertical="top" wrapText="1"/>
    </xf>
    <xf numFmtId="0" fontId="7" fillId="8" borderId="3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left" vertical="top" wrapText="1"/>
    </xf>
    <xf numFmtId="0" fontId="6" fillId="7" borderId="3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6" fillId="18" borderId="15" xfId="0" applyFont="1" applyFill="1" applyBorder="1" applyAlignment="1">
      <alignment horizontal="center" vertical="top" wrapText="1"/>
    </xf>
    <xf numFmtId="0" fontId="6" fillId="18" borderId="14" xfId="0" applyFont="1" applyFill="1" applyBorder="1" applyAlignment="1">
      <alignment horizontal="center" vertical="top" wrapText="1"/>
    </xf>
    <xf numFmtId="44" fontId="6" fillId="4" borderId="1" xfId="1" applyFont="1" applyFill="1" applyBorder="1" applyAlignment="1">
      <alignment horizontal="left" vertical="top" wrapText="1"/>
    </xf>
    <xf numFmtId="44" fontId="7" fillId="2" borderId="1" xfId="1" applyFont="1" applyFill="1" applyBorder="1" applyAlignment="1" applyProtection="1">
      <alignment horizontal="left" vertical="top" wrapText="1"/>
      <protection locked="0"/>
    </xf>
    <xf numFmtId="0" fontId="6" fillId="3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0" fontId="6" fillId="18" borderId="1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6" fillId="3" borderId="0" xfId="0" applyFont="1" applyFill="1" applyAlignment="1" applyProtection="1">
      <alignment horizontal="center"/>
      <protection locked="0"/>
    </xf>
    <xf numFmtId="0" fontId="6" fillId="17" borderId="1" xfId="0" applyFont="1" applyFill="1" applyBorder="1" applyAlignment="1">
      <alignment horizontal="center" vertical="top"/>
    </xf>
    <xf numFmtId="0" fontId="7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6" fillId="15" borderId="1" xfId="0" applyFont="1" applyFill="1" applyBorder="1" applyAlignment="1">
      <alignment horizontal="center" vertical="top"/>
    </xf>
    <xf numFmtId="0" fontId="6" fillId="12" borderId="0" xfId="0" applyFont="1" applyFill="1" applyAlignment="1">
      <alignment horizontal="center" vertical="top"/>
    </xf>
    <xf numFmtId="0" fontId="6" fillId="13" borderId="2" xfId="0" applyFont="1" applyFill="1" applyBorder="1" applyAlignment="1">
      <alignment horizontal="center" vertical="top" wrapText="1"/>
    </xf>
    <xf numFmtId="0" fontId="6" fillId="13" borderId="4" xfId="0" applyFont="1" applyFill="1" applyBorder="1" applyAlignment="1">
      <alignment horizontal="center" vertical="top" wrapText="1"/>
    </xf>
    <xf numFmtId="0" fontId="6" fillId="13" borderId="3" xfId="0" applyFont="1" applyFill="1" applyBorder="1" applyAlignment="1">
      <alignment horizontal="center" vertical="top" wrapText="1"/>
    </xf>
    <xf numFmtId="0" fontId="6" fillId="14" borderId="2" xfId="0" applyFont="1" applyFill="1" applyBorder="1" applyAlignment="1">
      <alignment horizontal="center" vertical="top" wrapText="1"/>
    </xf>
    <xf numFmtId="0" fontId="6" fillId="14" borderId="4" xfId="0" applyFont="1" applyFill="1" applyBorder="1" applyAlignment="1">
      <alignment horizontal="center" vertical="top" wrapText="1"/>
    </xf>
    <xf numFmtId="0" fontId="6" fillId="14" borderId="3" xfId="0" applyFont="1" applyFill="1" applyBorder="1" applyAlignment="1">
      <alignment horizontal="center" vertical="top" wrapText="1"/>
    </xf>
    <xf numFmtId="0" fontId="14" fillId="3" borderId="14" xfId="0" applyFont="1" applyFill="1" applyBorder="1" applyAlignment="1" applyProtection="1">
      <alignment horizontal="center"/>
      <protection locked="0"/>
    </xf>
  </cellXfs>
  <cellStyles count="8">
    <cellStyle name="Calcolo 2" xfId="6" xr:uid="{00000000-0005-0000-0000-000000000000}"/>
    <cellStyle name="Collegamento ipertestuale" xfId="4" builtinId="8"/>
    <cellStyle name="Collegamento ipertestuale 2" xfId="7" xr:uid="{00000000-0005-0000-0000-000002000000}"/>
    <cellStyle name="Migliaia" xfId="3" builtinId="3"/>
    <cellStyle name="Normale" xfId="0" builtinId="0"/>
    <cellStyle name="Normale 2" xfId="5" xr:uid="{00000000-0005-0000-0000-000005000000}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Rappresentazione grafica del rispetto dei</a:t>
            </a:r>
            <a:r>
              <a:rPr lang="it-IT" baseline="0"/>
              <a:t> </a:t>
            </a:r>
            <a:r>
              <a:rPr lang="it-IT"/>
              <a:t>limiti annuali di spesa di personale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8B0-4308-971A-EFD7BC6295BE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8B0-4308-971A-EFD7BC6295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grafico!$A$2:$A$6</c:f>
              <c:strCache>
                <c:ptCount val="5"/>
                <c:pt idx="0">
                  <c:v>spesa personale annualità di riferimento al netto componenti escluse l 296/2006</c:v>
                </c:pt>
                <c:pt idx="1">
                  <c:v>spesa personale prevista anno corrente al netto componenti escluse l 296/2006</c:v>
                </c:pt>
                <c:pt idx="2">
                  <c:v>limite effettivo spesa di personale lorda senza IRAP dl 34/2019</c:v>
                </c:pt>
                <c:pt idx="3">
                  <c:v>spesa del personale lorda senza IRAP prevista anno corrente dl 34/2019</c:v>
                </c:pt>
                <c:pt idx="4">
                  <c:v>nuova spesa di personale lorda senza IRAP programmata anno corrente dl 34/2019</c:v>
                </c:pt>
              </c:strCache>
            </c:strRef>
          </c:cat>
          <c:val>
            <c:numRef>
              <c:f>grafico!$B$2:$B$6</c:f>
              <c:numCache>
                <c:formatCode>_("€"* #,##0.00_);_("€"* \(#,##0.00\);_("€"*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0-4308-971A-EFD7BC629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76633231"/>
        <c:axId val="776632271"/>
        <c:axId val="0"/>
      </c:bar3DChart>
      <c:catAx>
        <c:axId val="776633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76632271"/>
        <c:crosses val="autoZero"/>
        <c:auto val="1"/>
        <c:lblAlgn val="ctr"/>
        <c:lblOffset val="100"/>
        <c:noMultiLvlLbl val="0"/>
      </c:catAx>
      <c:valAx>
        <c:axId val="776632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76633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6</xdr:row>
      <xdr:rowOff>106681</xdr:rowOff>
    </xdr:from>
    <xdr:to>
      <xdr:col>1</xdr:col>
      <xdr:colOff>1258956</xdr:colOff>
      <xdr:row>31</xdr:row>
      <xdr:rowOff>165653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16CCFF1-7A6C-F1DD-0986-4463FE7AD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rmignaniconsulenza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armignaniconsulenza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armignaniconsulenz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opLeftCell="A40" zoomScale="130" zoomScaleNormal="130" workbookViewId="0">
      <selection activeCell="D45" sqref="D45:D47"/>
    </sheetView>
  </sheetViews>
  <sheetFormatPr defaultColWidth="8.88671875" defaultRowHeight="12" x14ac:dyDescent="0.3"/>
  <cols>
    <col min="1" max="1" width="16.88671875" style="1" customWidth="1"/>
    <col min="2" max="3" width="15" style="1" customWidth="1"/>
    <col min="4" max="4" width="14.88671875" style="1" customWidth="1"/>
    <col min="5" max="5" width="13.77734375" style="1" customWidth="1"/>
    <col min="6" max="6" width="13.33203125" style="1" customWidth="1"/>
    <col min="7" max="7" width="12.33203125" style="1" customWidth="1"/>
    <col min="8" max="8" width="13.33203125" style="1" customWidth="1"/>
    <col min="9" max="9" width="13.5546875" style="1" customWidth="1"/>
    <col min="10" max="10" width="13.6640625" style="1" customWidth="1"/>
    <col min="11" max="11" width="11.5546875" style="1" bestFit="1" customWidth="1"/>
    <col min="12" max="12" width="20.88671875" style="1" customWidth="1"/>
    <col min="13" max="13" width="9.77734375" style="1" bestFit="1" customWidth="1"/>
    <col min="14" max="16384" width="8.88671875" style="1"/>
  </cols>
  <sheetData>
    <row r="1" spans="1:12" x14ac:dyDescent="0.3">
      <c r="A1" s="98" t="s">
        <v>142</v>
      </c>
      <c r="B1" s="98"/>
      <c r="C1" s="98"/>
      <c r="D1" s="98"/>
      <c r="E1" s="98"/>
      <c r="F1" s="98"/>
      <c r="G1" s="98"/>
      <c r="H1" s="98"/>
      <c r="I1" s="98"/>
      <c r="J1" s="98"/>
    </row>
    <row r="3" spans="1:12" x14ac:dyDescent="0.3">
      <c r="A3" s="95" t="s">
        <v>97</v>
      </c>
      <c r="B3" s="95"/>
      <c r="C3" s="95"/>
      <c r="D3" s="95"/>
      <c r="F3" s="95" t="s">
        <v>59</v>
      </c>
      <c r="G3" s="95"/>
      <c r="H3" s="95"/>
      <c r="I3" s="95"/>
      <c r="J3" s="95"/>
    </row>
    <row r="4" spans="1:12" x14ac:dyDescent="0.3">
      <c r="A4" s="85" t="s">
        <v>54</v>
      </c>
      <c r="B4" s="86"/>
      <c r="C4" s="87"/>
      <c r="D4" s="2">
        <v>0</v>
      </c>
      <c r="F4" s="85" t="s">
        <v>78</v>
      </c>
      <c r="G4" s="86"/>
      <c r="H4" s="86"/>
      <c r="I4" s="87"/>
      <c r="J4" s="2">
        <v>0</v>
      </c>
    </row>
    <row r="5" spans="1:12" x14ac:dyDescent="0.3">
      <c r="A5" s="85" t="s">
        <v>39</v>
      </c>
      <c r="B5" s="86"/>
      <c r="C5" s="87"/>
      <c r="D5" s="2">
        <v>0</v>
      </c>
      <c r="F5" s="85" t="s">
        <v>51</v>
      </c>
      <c r="G5" s="86"/>
      <c r="H5" s="86"/>
      <c r="I5" s="87"/>
      <c r="J5" s="2">
        <v>0</v>
      </c>
    </row>
    <row r="6" spans="1:12" x14ac:dyDescent="0.3">
      <c r="A6" s="85" t="s">
        <v>40</v>
      </c>
      <c r="B6" s="86"/>
      <c r="C6" s="87"/>
      <c r="D6" s="2">
        <v>0</v>
      </c>
      <c r="F6" s="96" t="s">
        <v>53</v>
      </c>
      <c r="G6" s="96"/>
      <c r="H6" s="96"/>
      <c r="I6" s="96"/>
      <c r="J6" s="47">
        <v>0</v>
      </c>
    </row>
    <row r="8" spans="1:12" x14ac:dyDescent="0.3">
      <c r="A8" s="100" t="s">
        <v>9</v>
      </c>
      <c r="B8" s="101"/>
      <c r="C8" s="3" t="s">
        <v>19</v>
      </c>
      <c r="D8" s="118" t="s">
        <v>20</v>
      </c>
      <c r="E8" s="119"/>
      <c r="F8" s="35">
        <v>2020</v>
      </c>
      <c r="G8" s="35">
        <v>2021</v>
      </c>
      <c r="H8" s="35">
        <v>2022</v>
      </c>
      <c r="I8" s="35">
        <v>2023</v>
      </c>
      <c r="J8" s="35">
        <v>2024</v>
      </c>
      <c r="K8" s="4"/>
      <c r="L8" s="4"/>
    </row>
    <row r="9" spans="1:12" x14ac:dyDescent="0.3">
      <c r="A9" s="85" t="s">
        <v>10</v>
      </c>
      <c r="B9" s="87"/>
      <c r="C9" s="5">
        <v>0.29499999999999998</v>
      </c>
      <c r="D9" s="104" t="s">
        <v>10</v>
      </c>
      <c r="E9" s="105"/>
      <c r="F9" s="36">
        <v>0.23</v>
      </c>
      <c r="G9" s="36">
        <v>0.28999999999999998</v>
      </c>
      <c r="H9" s="36">
        <v>0.33</v>
      </c>
      <c r="I9" s="36">
        <v>0.34</v>
      </c>
      <c r="J9" s="36">
        <v>0.35</v>
      </c>
      <c r="K9" s="4"/>
      <c r="L9" s="4"/>
    </row>
    <row r="10" spans="1:12" x14ac:dyDescent="0.3">
      <c r="A10" s="85" t="s">
        <v>11</v>
      </c>
      <c r="B10" s="87"/>
      <c r="C10" s="5">
        <v>0.28599999999999998</v>
      </c>
      <c r="D10" s="104" t="s">
        <v>11</v>
      </c>
      <c r="E10" s="105"/>
      <c r="F10" s="36">
        <v>0.23</v>
      </c>
      <c r="G10" s="36">
        <v>0.28999999999999998</v>
      </c>
      <c r="H10" s="36">
        <v>0.33</v>
      </c>
      <c r="I10" s="36">
        <v>0.34</v>
      </c>
      <c r="J10" s="36">
        <v>0.35</v>
      </c>
      <c r="K10" s="4"/>
      <c r="L10" s="4"/>
    </row>
    <row r="11" spans="1:12" x14ac:dyDescent="0.3">
      <c r="A11" s="85" t="s">
        <v>12</v>
      </c>
      <c r="B11" s="87"/>
      <c r="C11" s="5">
        <v>0.27600000000000002</v>
      </c>
      <c r="D11" s="104" t="s">
        <v>12</v>
      </c>
      <c r="E11" s="105"/>
      <c r="F11" s="36">
        <v>0.2</v>
      </c>
      <c r="G11" s="36">
        <v>0.25</v>
      </c>
      <c r="H11" s="36">
        <v>0.28000000000000003</v>
      </c>
      <c r="I11" s="36">
        <v>0.28999999999999998</v>
      </c>
      <c r="J11" s="36">
        <v>0.3</v>
      </c>
      <c r="K11" s="4"/>
      <c r="L11" s="4"/>
    </row>
    <row r="12" spans="1:12" x14ac:dyDescent="0.3">
      <c r="A12" s="85" t="s">
        <v>13</v>
      </c>
      <c r="B12" s="87"/>
      <c r="C12" s="5">
        <v>0.27200000000000002</v>
      </c>
      <c r="D12" s="104" t="s">
        <v>13</v>
      </c>
      <c r="E12" s="105"/>
      <c r="F12" s="36">
        <v>0.19</v>
      </c>
      <c r="G12" s="36">
        <v>0.24</v>
      </c>
      <c r="H12" s="36">
        <v>0.26</v>
      </c>
      <c r="I12" s="36">
        <v>0.27</v>
      </c>
      <c r="J12" s="36">
        <v>0.28000000000000003</v>
      </c>
      <c r="K12" s="4"/>
      <c r="L12" s="4"/>
    </row>
    <row r="13" spans="1:12" x14ac:dyDescent="0.3">
      <c r="A13" s="85" t="s">
        <v>14</v>
      </c>
      <c r="B13" s="87"/>
      <c r="C13" s="5">
        <v>0.26900000000000002</v>
      </c>
      <c r="D13" s="104" t="s">
        <v>14</v>
      </c>
      <c r="E13" s="105"/>
      <c r="F13" s="36">
        <v>0.17</v>
      </c>
      <c r="G13" s="36">
        <v>0.21</v>
      </c>
      <c r="H13" s="36">
        <v>0.24</v>
      </c>
      <c r="I13" s="36">
        <v>0.25</v>
      </c>
      <c r="J13" s="36">
        <v>0.26</v>
      </c>
      <c r="K13" s="4"/>
      <c r="L13" s="4"/>
    </row>
    <row r="14" spans="1:12" x14ac:dyDescent="0.3">
      <c r="A14" s="85" t="s">
        <v>15</v>
      </c>
      <c r="B14" s="87"/>
      <c r="C14" s="5">
        <v>0.27</v>
      </c>
      <c r="D14" s="104" t="s">
        <v>15</v>
      </c>
      <c r="E14" s="105"/>
      <c r="F14" s="36">
        <v>0.09</v>
      </c>
      <c r="G14" s="36">
        <v>0.16</v>
      </c>
      <c r="H14" s="36">
        <v>0.19</v>
      </c>
      <c r="I14" s="36">
        <v>0.21</v>
      </c>
      <c r="J14" s="36">
        <v>0.22</v>
      </c>
    </row>
    <row r="15" spans="1:12" x14ac:dyDescent="0.3">
      <c r="A15" s="85" t="s">
        <v>16</v>
      </c>
      <c r="B15" s="87"/>
      <c r="C15" s="5">
        <v>0.27600000000000002</v>
      </c>
      <c r="D15" s="104" t="s">
        <v>16</v>
      </c>
      <c r="E15" s="105"/>
      <c r="F15" s="36">
        <v>7.0000000000000007E-2</v>
      </c>
      <c r="G15" s="36">
        <v>0.12</v>
      </c>
      <c r="H15" s="36">
        <v>0.14000000000000001</v>
      </c>
      <c r="I15" s="36">
        <v>0.15</v>
      </c>
      <c r="J15" s="36">
        <v>0.16</v>
      </c>
    </row>
    <row r="16" spans="1:12" x14ac:dyDescent="0.3">
      <c r="A16" s="85" t="s">
        <v>17</v>
      </c>
      <c r="B16" s="87"/>
      <c r="C16" s="5">
        <v>0.28799999999999998</v>
      </c>
      <c r="D16" s="104" t="s">
        <v>17</v>
      </c>
      <c r="E16" s="105"/>
      <c r="F16" s="36">
        <v>0.03</v>
      </c>
      <c r="G16" s="36">
        <v>0.06</v>
      </c>
      <c r="H16" s="36">
        <v>0.08</v>
      </c>
      <c r="I16" s="36">
        <v>0.09</v>
      </c>
      <c r="J16" s="36">
        <v>0.1</v>
      </c>
    </row>
    <row r="17" spans="1:12" x14ac:dyDescent="0.3">
      <c r="A17" s="85" t="s">
        <v>18</v>
      </c>
      <c r="B17" s="87"/>
      <c r="C17" s="5">
        <v>0.253</v>
      </c>
      <c r="D17" s="104" t="s">
        <v>18</v>
      </c>
      <c r="E17" s="105"/>
      <c r="F17" s="36">
        <v>1.4999999999999999E-2</v>
      </c>
      <c r="G17" s="36">
        <v>0.03</v>
      </c>
      <c r="H17" s="36">
        <v>0.04</v>
      </c>
      <c r="I17" s="36">
        <v>4.4999999999999998E-2</v>
      </c>
      <c r="J17" s="36">
        <v>0.05</v>
      </c>
    </row>
    <row r="19" spans="1:12" x14ac:dyDescent="0.3">
      <c r="A19" s="99" t="s">
        <v>27</v>
      </c>
      <c r="B19" s="99"/>
      <c r="C19" s="99"/>
      <c r="D19" s="99"/>
      <c r="G19" s="95" t="s">
        <v>21</v>
      </c>
      <c r="H19" s="95"/>
      <c r="I19" s="95"/>
      <c r="J19" s="95"/>
    </row>
    <row r="20" spans="1:12" x14ac:dyDescent="0.3">
      <c r="A20" s="37" t="s">
        <v>5</v>
      </c>
      <c r="B20" s="38" t="s">
        <v>35</v>
      </c>
      <c r="C20" s="37" t="s">
        <v>6</v>
      </c>
      <c r="D20" s="37" t="s">
        <v>7</v>
      </c>
      <c r="G20" s="77" t="s">
        <v>9</v>
      </c>
      <c r="H20" s="77"/>
      <c r="I20" s="77"/>
      <c r="J20" s="7" t="s">
        <v>19</v>
      </c>
    </row>
    <row r="21" spans="1:12" x14ac:dyDescent="0.3">
      <c r="A21" s="37">
        <v>2019</v>
      </c>
      <c r="B21" s="39">
        <v>0</v>
      </c>
      <c r="C21" s="40">
        <v>1</v>
      </c>
      <c r="D21" s="39">
        <f t="shared" ref="D21:D26" si="0">C21*B21</f>
        <v>0</v>
      </c>
      <c r="G21" s="77" t="s">
        <v>10</v>
      </c>
      <c r="H21" s="77"/>
      <c r="I21" s="77"/>
      <c r="J21" s="6">
        <v>0.33500000000000002</v>
      </c>
    </row>
    <row r="22" spans="1:12" x14ac:dyDescent="0.3">
      <c r="A22" s="37">
        <v>2018</v>
      </c>
      <c r="B22" s="39">
        <v>0</v>
      </c>
      <c r="C22" s="40">
        <v>1</v>
      </c>
      <c r="D22" s="39">
        <f t="shared" si="0"/>
        <v>0</v>
      </c>
      <c r="G22" s="77" t="s">
        <v>11</v>
      </c>
      <c r="H22" s="77"/>
      <c r="I22" s="77"/>
      <c r="J22" s="6">
        <v>0.32600000000000001</v>
      </c>
    </row>
    <row r="23" spans="1:12" x14ac:dyDescent="0.3">
      <c r="A23" s="37">
        <v>2017</v>
      </c>
      <c r="B23" s="39">
        <v>0</v>
      </c>
      <c r="C23" s="40">
        <v>0.75</v>
      </c>
      <c r="D23" s="39">
        <f t="shared" si="0"/>
        <v>0</v>
      </c>
      <c r="G23" s="77" t="s">
        <v>12</v>
      </c>
      <c r="H23" s="77"/>
      <c r="I23" s="77"/>
      <c r="J23" s="6">
        <v>0.316</v>
      </c>
    </row>
    <row r="24" spans="1:12" x14ac:dyDescent="0.3">
      <c r="A24" s="37">
        <v>2016</v>
      </c>
      <c r="B24" s="39">
        <v>0</v>
      </c>
      <c r="C24" s="40">
        <v>0.75</v>
      </c>
      <c r="D24" s="39">
        <f t="shared" si="0"/>
        <v>0</v>
      </c>
      <c r="G24" s="77" t="s">
        <v>13</v>
      </c>
      <c r="H24" s="77"/>
      <c r="I24" s="77"/>
      <c r="J24" s="6">
        <v>0.312</v>
      </c>
    </row>
    <row r="25" spans="1:12" x14ac:dyDescent="0.3">
      <c r="A25" s="37">
        <v>2015</v>
      </c>
      <c r="B25" s="39">
        <v>0</v>
      </c>
      <c r="C25" s="40">
        <v>1</v>
      </c>
      <c r="D25" s="39">
        <f t="shared" si="0"/>
        <v>0</v>
      </c>
      <c r="G25" s="77" t="s">
        <v>14</v>
      </c>
      <c r="H25" s="77"/>
      <c r="I25" s="77"/>
      <c r="J25" s="6">
        <v>0.309</v>
      </c>
    </row>
    <row r="26" spans="1:12" x14ac:dyDescent="0.3">
      <c r="A26" s="37">
        <v>2014</v>
      </c>
      <c r="B26" s="39">
        <v>0</v>
      </c>
      <c r="C26" s="40">
        <v>0.8</v>
      </c>
      <c r="D26" s="39">
        <f t="shared" si="0"/>
        <v>0</v>
      </c>
      <c r="G26" s="77" t="s">
        <v>15</v>
      </c>
      <c r="H26" s="77"/>
      <c r="I26" s="77"/>
      <c r="J26" s="6">
        <v>0.31</v>
      </c>
    </row>
    <row r="27" spans="1:12" x14ac:dyDescent="0.3">
      <c r="A27" s="41" t="s">
        <v>0</v>
      </c>
      <c r="B27" s="41"/>
      <c r="C27" s="41"/>
      <c r="D27" s="42">
        <f>SUM(D21:D26)</f>
        <v>0</v>
      </c>
      <c r="G27" s="77" t="s">
        <v>16</v>
      </c>
      <c r="H27" s="77"/>
      <c r="I27" s="77"/>
      <c r="J27" s="6">
        <v>0.316</v>
      </c>
    </row>
    <row r="28" spans="1:12" x14ac:dyDescent="0.3">
      <c r="G28" s="77" t="s">
        <v>17</v>
      </c>
      <c r="H28" s="77"/>
      <c r="I28" s="77"/>
      <c r="J28" s="6">
        <v>0.32800000000000001</v>
      </c>
    </row>
    <row r="29" spans="1:12" x14ac:dyDescent="0.3">
      <c r="A29" s="91" t="s">
        <v>46</v>
      </c>
      <c r="B29" s="92"/>
      <c r="C29" s="93"/>
      <c r="D29" s="55" t="s">
        <v>8</v>
      </c>
      <c r="G29" s="77" t="s">
        <v>18</v>
      </c>
      <c r="H29" s="77"/>
      <c r="I29" s="77"/>
      <c r="J29" s="6">
        <v>0.29299999999999998</v>
      </c>
    </row>
    <row r="30" spans="1:12" x14ac:dyDescent="0.3">
      <c r="A30" s="2">
        <v>0</v>
      </c>
      <c r="B30" s="2">
        <v>0</v>
      </c>
      <c r="C30" s="2">
        <v>0</v>
      </c>
      <c r="D30" s="9">
        <f>AVERAGE(A30:C30)</f>
        <v>0</v>
      </c>
    </row>
    <row r="31" spans="1:12" x14ac:dyDescent="0.3">
      <c r="A31" s="85" t="s">
        <v>50</v>
      </c>
      <c r="B31" s="86"/>
      <c r="C31" s="87"/>
      <c r="D31" s="2">
        <v>0</v>
      </c>
      <c r="F31" s="85" t="s">
        <v>19</v>
      </c>
      <c r="G31" s="86"/>
      <c r="H31" s="86"/>
      <c r="I31" s="87"/>
      <c r="J31" s="10">
        <v>0</v>
      </c>
      <c r="L31" s="4"/>
    </row>
    <row r="32" spans="1:12" x14ac:dyDescent="0.3">
      <c r="A32" s="85" t="s">
        <v>24</v>
      </c>
      <c r="B32" s="86"/>
      <c r="C32" s="87"/>
      <c r="D32" s="9">
        <f>D30-D31</f>
        <v>0</v>
      </c>
      <c r="F32" s="120" t="s">
        <v>32</v>
      </c>
      <c r="G32" s="121"/>
      <c r="H32" s="121"/>
      <c r="I32" s="122"/>
      <c r="J32" s="11">
        <f>J31*D32</f>
        <v>0</v>
      </c>
    </row>
    <row r="33" spans="1:16" x14ac:dyDescent="0.3">
      <c r="A33" s="88" t="s">
        <v>37</v>
      </c>
      <c r="B33" s="89"/>
      <c r="C33" s="90"/>
      <c r="D33" s="12">
        <f>IF(D32=0,0,D4/D32)</f>
        <v>0</v>
      </c>
      <c r="F33" s="120" t="s">
        <v>38</v>
      </c>
      <c r="G33" s="121"/>
      <c r="H33" s="121"/>
      <c r="I33" s="122"/>
      <c r="J33" s="11">
        <f>D38*D32</f>
        <v>0</v>
      </c>
    </row>
    <row r="34" spans="1:16" x14ac:dyDescent="0.3">
      <c r="A34" s="115" t="s">
        <v>23</v>
      </c>
      <c r="B34" s="116"/>
      <c r="C34" s="117"/>
      <c r="D34" s="43">
        <v>0</v>
      </c>
      <c r="E34" s="28"/>
      <c r="F34" s="100" t="s">
        <v>33</v>
      </c>
      <c r="G34" s="102"/>
      <c r="H34" s="102"/>
      <c r="I34" s="101"/>
      <c r="J34" s="13">
        <f>IF((J33&lt;=J32),J33,J32)</f>
        <v>0</v>
      </c>
    </row>
    <row r="35" spans="1:16" x14ac:dyDescent="0.3">
      <c r="A35" s="109" t="s">
        <v>22</v>
      </c>
      <c r="B35" s="110"/>
      <c r="C35" s="111"/>
      <c r="D35" s="44">
        <f>J6*D34</f>
        <v>0</v>
      </c>
    </row>
    <row r="36" spans="1:16" ht="12" customHeight="1" x14ac:dyDescent="0.3">
      <c r="A36" s="109" t="s">
        <v>36</v>
      </c>
      <c r="B36" s="110"/>
      <c r="C36" s="111"/>
      <c r="D36" s="46">
        <f>IF(D32=0,0,(D4+D35)/D32)</f>
        <v>0</v>
      </c>
      <c r="F36" s="112" t="s">
        <v>63</v>
      </c>
      <c r="G36" s="113"/>
      <c r="H36" s="113"/>
      <c r="I36" s="114"/>
      <c r="J36" s="2">
        <f>J4-J5</f>
        <v>0</v>
      </c>
    </row>
    <row r="37" spans="1:16" ht="12" customHeight="1" x14ac:dyDescent="0.3">
      <c r="A37" s="115" t="s">
        <v>25</v>
      </c>
      <c r="B37" s="116"/>
      <c r="C37" s="117"/>
      <c r="D37" s="45">
        <v>0</v>
      </c>
      <c r="F37" s="85" t="s">
        <v>64</v>
      </c>
      <c r="G37" s="86"/>
      <c r="H37" s="86"/>
      <c r="I37" s="87"/>
      <c r="J37" s="2">
        <v>0</v>
      </c>
    </row>
    <row r="38" spans="1:16" ht="12" customHeight="1" x14ac:dyDescent="0.3">
      <c r="A38" s="100" t="s">
        <v>36</v>
      </c>
      <c r="B38" s="102"/>
      <c r="C38" s="101"/>
      <c r="D38" s="30">
        <f>IF(D33&gt;J31,D33,J31)</f>
        <v>0</v>
      </c>
      <c r="F38" s="97" t="s">
        <v>28</v>
      </c>
      <c r="G38" s="97"/>
      <c r="H38" s="97"/>
      <c r="I38" s="97"/>
      <c r="J38" s="2">
        <v>0</v>
      </c>
    </row>
    <row r="39" spans="1:16" x14ac:dyDescent="0.3">
      <c r="A39" s="73" t="s">
        <v>47</v>
      </c>
      <c r="B39" s="73"/>
      <c r="C39" s="73"/>
      <c r="D39" s="73"/>
      <c r="E39" s="73"/>
      <c r="F39" s="73"/>
      <c r="G39" s="73"/>
      <c r="H39" s="73"/>
      <c r="I39" s="73"/>
      <c r="J39" s="73"/>
    </row>
    <row r="40" spans="1:16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</row>
    <row r="41" spans="1:16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</row>
    <row r="42" spans="1:16" x14ac:dyDescent="0.3">
      <c r="A42" s="106" t="s">
        <v>34</v>
      </c>
      <c r="B42" s="106"/>
      <c r="C42" s="106"/>
      <c r="D42" s="106"/>
      <c r="E42" s="106"/>
      <c r="F42" s="106"/>
      <c r="G42" s="106"/>
      <c r="H42" s="106"/>
      <c r="I42" s="106"/>
      <c r="K42" s="4"/>
      <c r="L42" s="4"/>
      <c r="M42" s="4"/>
      <c r="N42" s="4"/>
      <c r="O42" s="4"/>
      <c r="P42" s="4"/>
    </row>
    <row r="43" spans="1:16" ht="24" x14ac:dyDescent="0.3">
      <c r="A43" s="7" t="s">
        <v>98</v>
      </c>
      <c r="B43" s="7" t="s">
        <v>1</v>
      </c>
      <c r="C43" s="7" t="s">
        <v>2</v>
      </c>
      <c r="D43" s="7" t="s">
        <v>31</v>
      </c>
      <c r="E43" s="7" t="s">
        <v>31</v>
      </c>
      <c r="F43" s="7" t="s">
        <v>0</v>
      </c>
      <c r="G43" s="15" t="s">
        <v>3</v>
      </c>
      <c r="H43" s="7" t="s">
        <v>4</v>
      </c>
      <c r="I43" s="16" t="s">
        <v>30</v>
      </c>
      <c r="K43" s="4"/>
      <c r="L43" s="4"/>
      <c r="M43" s="4"/>
      <c r="N43" s="4"/>
      <c r="O43" s="4"/>
      <c r="P43" s="4"/>
    </row>
    <row r="44" spans="1:16" x14ac:dyDescent="0.3">
      <c r="A44" s="7" t="s">
        <v>55</v>
      </c>
      <c r="B44" s="17">
        <v>18044.37</v>
      </c>
      <c r="C44" s="17">
        <f t="shared" ref="C44:C47" si="1">(B44/12)*13</f>
        <v>19548.067500000001</v>
      </c>
      <c r="D44" s="18">
        <f>23.8%+2.88%</f>
        <v>0.26680000000000004</v>
      </c>
      <c r="E44" s="17">
        <f t="shared" ref="E44:E47" si="2">C44*D44</f>
        <v>5215.4244090000011</v>
      </c>
      <c r="F44" s="17">
        <f t="shared" ref="F44:F47" si="3">C44+E44</f>
        <v>24763.491909000004</v>
      </c>
      <c r="G44" s="19">
        <v>0</v>
      </c>
      <c r="H44" s="20">
        <f>G44*F44</f>
        <v>0</v>
      </c>
      <c r="I44" s="21">
        <f>H44+(C44*8.5%)*G44</f>
        <v>0</v>
      </c>
      <c r="J44" s="4"/>
      <c r="K44" s="4"/>
      <c r="L44" s="4"/>
      <c r="M44" s="4"/>
    </row>
    <row r="45" spans="1:16" x14ac:dyDescent="0.3">
      <c r="A45" s="7" t="s">
        <v>56</v>
      </c>
      <c r="B45" s="17">
        <v>19034.509999999998</v>
      </c>
      <c r="C45" s="17">
        <f t="shared" si="1"/>
        <v>20620.719166666666</v>
      </c>
      <c r="D45" s="18">
        <f t="shared" ref="D45:D47" si="4">23.8%+2.88%</f>
        <v>0.26680000000000004</v>
      </c>
      <c r="E45" s="17">
        <f t="shared" si="2"/>
        <v>5501.6078736666668</v>
      </c>
      <c r="F45" s="17">
        <f t="shared" si="3"/>
        <v>26122.327040333334</v>
      </c>
      <c r="G45" s="19">
        <v>0</v>
      </c>
      <c r="H45" s="20">
        <f t="shared" ref="H45" si="5">G45*F45</f>
        <v>0</v>
      </c>
      <c r="I45" s="21">
        <f t="shared" ref="I45:I47" si="6">H45+(C45*8.5%)*G45</f>
        <v>0</v>
      </c>
      <c r="J45" s="4"/>
      <c r="K45" s="4"/>
    </row>
    <row r="46" spans="1:16" x14ac:dyDescent="0.3">
      <c r="A46" s="7" t="s">
        <v>57</v>
      </c>
      <c r="B46" s="17">
        <v>21392.87</v>
      </c>
      <c r="C46" s="17">
        <f t="shared" si="1"/>
        <v>23175.609166666665</v>
      </c>
      <c r="D46" s="18">
        <f t="shared" si="4"/>
        <v>0.26680000000000004</v>
      </c>
      <c r="E46" s="17">
        <f t="shared" si="2"/>
        <v>6183.2525256666668</v>
      </c>
      <c r="F46" s="17">
        <f t="shared" si="3"/>
        <v>29358.861692333332</v>
      </c>
      <c r="G46" s="19">
        <v>0</v>
      </c>
      <c r="H46" s="20">
        <f>G46*F46</f>
        <v>0</v>
      </c>
      <c r="I46" s="21">
        <f t="shared" si="6"/>
        <v>0</v>
      </c>
      <c r="J46" s="4"/>
      <c r="K46" s="4"/>
    </row>
    <row r="47" spans="1:16" x14ac:dyDescent="0.3">
      <c r="A47" s="7" t="s">
        <v>58</v>
      </c>
      <c r="B47" s="17">
        <v>23212.35</v>
      </c>
      <c r="C47" s="17">
        <f t="shared" si="1"/>
        <v>25146.712499999998</v>
      </c>
      <c r="D47" s="18">
        <f t="shared" si="4"/>
        <v>0.26680000000000004</v>
      </c>
      <c r="E47" s="17">
        <f t="shared" si="2"/>
        <v>6709.142895</v>
      </c>
      <c r="F47" s="17">
        <f t="shared" si="3"/>
        <v>31855.855394999999</v>
      </c>
      <c r="G47" s="19">
        <v>0</v>
      </c>
      <c r="H47" s="20">
        <f>G47*F47</f>
        <v>0</v>
      </c>
      <c r="I47" s="21">
        <f t="shared" si="6"/>
        <v>0</v>
      </c>
      <c r="J47" s="34"/>
      <c r="K47" s="4"/>
    </row>
    <row r="48" spans="1:16" x14ac:dyDescent="0.3">
      <c r="A48" s="107" t="s">
        <v>29</v>
      </c>
      <c r="B48" s="107"/>
      <c r="C48" s="107"/>
      <c r="D48" s="107"/>
      <c r="E48" s="107"/>
      <c r="F48" s="107"/>
      <c r="G48" s="22">
        <f>SUM(G44:G47)</f>
        <v>0</v>
      </c>
      <c r="H48" s="8">
        <f>SUM(H44:H47)</f>
        <v>0</v>
      </c>
      <c r="I48" s="23">
        <f>SUM(I44:I47)</f>
        <v>0</v>
      </c>
      <c r="K48" s="4"/>
    </row>
    <row r="49" spans="1:11" x14ac:dyDescent="0.3">
      <c r="A49" s="24"/>
      <c r="B49" s="24"/>
      <c r="C49" s="24"/>
      <c r="D49" s="24"/>
      <c r="E49" s="24"/>
      <c r="F49" s="24"/>
      <c r="G49" s="25"/>
      <c r="I49" s="26"/>
      <c r="K49" s="4"/>
    </row>
    <row r="50" spans="1:11" ht="12" customHeight="1" x14ac:dyDescent="0.3">
      <c r="A50" s="82" t="s">
        <v>45</v>
      </c>
      <c r="B50" s="83"/>
      <c r="C50" s="83"/>
      <c r="D50" s="83"/>
      <c r="E50" s="83"/>
      <c r="F50" s="84"/>
      <c r="G50" s="25"/>
      <c r="H50" s="123" t="s">
        <v>117</v>
      </c>
      <c r="I50" s="123"/>
      <c r="J50" s="4"/>
      <c r="K50" s="4"/>
    </row>
    <row r="51" spans="1:11" x14ac:dyDescent="0.3">
      <c r="A51" s="94" t="s">
        <v>41</v>
      </c>
      <c r="B51" s="94"/>
      <c r="C51" s="94"/>
      <c r="D51" s="94"/>
      <c r="E51" s="94"/>
      <c r="F51" s="31">
        <f>J34-D4</f>
        <v>0</v>
      </c>
      <c r="H51" s="124"/>
      <c r="I51" s="124"/>
    </row>
    <row r="52" spans="1:11" x14ac:dyDescent="0.3">
      <c r="A52" s="108" t="s">
        <v>60</v>
      </c>
      <c r="B52" s="108"/>
      <c r="C52" s="108"/>
      <c r="D52" s="108"/>
      <c r="E52" s="108"/>
      <c r="F52" s="27">
        <f>J36+F51</f>
        <v>0</v>
      </c>
      <c r="H52" s="97" t="s">
        <v>84</v>
      </c>
      <c r="I52" s="97"/>
    </row>
    <row r="53" spans="1:11" x14ac:dyDescent="0.3">
      <c r="A53" s="76" t="s">
        <v>42</v>
      </c>
      <c r="B53" s="76"/>
      <c r="C53" s="76"/>
      <c r="D53" s="76"/>
      <c r="E53" s="76"/>
      <c r="F53" s="51">
        <f>D4-J36-J37+H48</f>
        <v>0</v>
      </c>
      <c r="H53" s="97"/>
      <c r="I53" s="97"/>
    </row>
    <row r="54" spans="1:11" x14ac:dyDescent="0.3">
      <c r="A54" s="76" t="s">
        <v>61</v>
      </c>
      <c r="B54" s="76"/>
      <c r="C54" s="76"/>
      <c r="D54" s="76"/>
      <c r="E54" s="76"/>
      <c r="F54" s="51">
        <f>J34-F53</f>
        <v>0</v>
      </c>
      <c r="H54" s="126">
        <v>0</v>
      </c>
      <c r="I54" s="126"/>
    </row>
    <row r="55" spans="1:11" x14ac:dyDescent="0.3">
      <c r="A55" s="33"/>
      <c r="B55" s="33"/>
      <c r="C55" s="33"/>
      <c r="D55" s="33"/>
      <c r="E55" s="33"/>
      <c r="H55" s="97" t="s">
        <v>85</v>
      </c>
      <c r="I55" s="97"/>
    </row>
    <row r="56" spans="1:11" x14ac:dyDescent="0.3">
      <c r="A56" s="79" t="s">
        <v>62</v>
      </c>
      <c r="B56" s="80"/>
      <c r="C56" s="80"/>
      <c r="D56" s="80"/>
      <c r="E56" s="80"/>
      <c r="F56" s="81"/>
      <c r="H56" s="97"/>
      <c r="I56" s="97"/>
    </row>
    <row r="57" spans="1:11" x14ac:dyDescent="0.3">
      <c r="A57" s="74" t="s">
        <v>43</v>
      </c>
      <c r="B57" s="74"/>
      <c r="C57" s="74"/>
      <c r="D57" s="74"/>
      <c r="E57" s="74"/>
      <c r="F57" s="50">
        <f>D5-J36-J37+J38+H48</f>
        <v>0</v>
      </c>
      <c r="H57" s="126">
        <v>0</v>
      </c>
      <c r="I57" s="126"/>
    </row>
    <row r="58" spans="1:11" x14ac:dyDescent="0.3">
      <c r="A58" s="75" t="s">
        <v>48</v>
      </c>
      <c r="B58" s="75"/>
      <c r="C58" s="75"/>
      <c r="D58" s="75"/>
      <c r="E58" s="75"/>
      <c r="F58" s="52">
        <f>J34-F57</f>
        <v>0</v>
      </c>
      <c r="H58" s="107" t="s">
        <v>86</v>
      </c>
      <c r="I58" s="107"/>
    </row>
    <row r="59" spans="1:11" x14ac:dyDescent="0.3">
      <c r="A59" s="78" t="s">
        <v>44</v>
      </c>
      <c r="B59" s="78"/>
      <c r="C59" s="78"/>
      <c r="D59" s="78"/>
      <c r="E59" s="78"/>
      <c r="F59" s="32">
        <f>D6-J36-J37+J38+H48</f>
        <v>0</v>
      </c>
      <c r="H59" s="125">
        <f>H54-H57</f>
        <v>0</v>
      </c>
      <c r="I59" s="125"/>
    </row>
    <row r="60" spans="1:11" x14ac:dyDescent="0.3">
      <c r="A60" s="78" t="s">
        <v>49</v>
      </c>
      <c r="B60" s="78"/>
      <c r="C60" s="78"/>
      <c r="D60" s="78"/>
      <c r="E60" s="78"/>
      <c r="F60" s="32">
        <f>J34-F59</f>
        <v>0</v>
      </c>
    </row>
    <row r="61" spans="1:11" x14ac:dyDescent="0.3">
      <c r="A61" s="73" t="s">
        <v>52</v>
      </c>
      <c r="B61" s="73"/>
      <c r="C61" s="73"/>
      <c r="D61" s="73"/>
      <c r="E61" s="73"/>
      <c r="F61" s="73"/>
    </row>
    <row r="62" spans="1:11" x14ac:dyDescent="0.3">
      <c r="A62" s="103" t="s">
        <v>26</v>
      </c>
      <c r="B62" s="103"/>
    </row>
    <row r="64" spans="1:11" x14ac:dyDescent="0.3">
      <c r="C64" s="29"/>
    </row>
  </sheetData>
  <sheetProtection algorithmName="SHA-512" hashValue="qHeG9cfrB0ZzZJjnEVT7lCkuKT/b15qw31qnbc9xTy40pBR5s6RCKrQog12KmrBdYvYWRDaWOw2gvwEusdweEA==" saltValue="wOg1zk/TDA8tlgszSVkyEg==" spinCount="100000" sheet="1" objects="1" scenarios="1"/>
  <mergeCells count="79">
    <mergeCell ref="H50:I51"/>
    <mergeCell ref="H58:I58"/>
    <mergeCell ref="H59:I59"/>
    <mergeCell ref="H52:I53"/>
    <mergeCell ref="H54:I54"/>
    <mergeCell ref="H55:I56"/>
    <mergeCell ref="H57:I57"/>
    <mergeCell ref="A52:E52"/>
    <mergeCell ref="A36:C36"/>
    <mergeCell ref="F36:I36"/>
    <mergeCell ref="F3:J3"/>
    <mergeCell ref="A37:C37"/>
    <mergeCell ref="A38:C38"/>
    <mergeCell ref="D8:E8"/>
    <mergeCell ref="D9:E9"/>
    <mergeCell ref="F37:I37"/>
    <mergeCell ref="A34:C34"/>
    <mergeCell ref="A35:C35"/>
    <mergeCell ref="F31:I31"/>
    <mergeCell ref="F32:I32"/>
    <mergeCell ref="F33:I33"/>
    <mergeCell ref="G22:I22"/>
    <mergeCell ref="G23:I23"/>
    <mergeCell ref="A32:C32"/>
    <mergeCell ref="F34:I34"/>
    <mergeCell ref="G27:I27"/>
    <mergeCell ref="A62:B62"/>
    <mergeCell ref="D10:E10"/>
    <mergeCell ref="D11:E11"/>
    <mergeCell ref="D12:E12"/>
    <mergeCell ref="D13:E13"/>
    <mergeCell ref="D14:E14"/>
    <mergeCell ref="A42:I42"/>
    <mergeCell ref="D15:E15"/>
    <mergeCell ref="D16:E16"/>
    <mergeCell ref="D17:E17"/>
    <mergeCell ref="G20:I20"/>
    <mergeCell ref="G21:I21"/>
    <mergeCell ref="A48:F48"/>
    <mergeCell ref="F38:I38"/>
    <mergeCell ref="A39:J39"/>
    <mergeCell ref="G24:I24"/>
    <mergeCell ref="A1:J1"/>
    <mergeCell ref="A19:D19"/>
    <mergeCell ref="A8:B8"/>
    <mergeCell ref="A9:B9"/>
    <mergeCell ref="A10:B10"/>
    <mergeCell ref="A11:B11"/>
    <mergeCell ref="A12:B12"/>
    <mergeCell ref="A4:C4"/>
    <mergeCell ref="F4:I4"/>
    <mergeCell ref="F5:I5"/>
    <mergeCell ref="A13:B13"/>
    <mergeCell ref="A14:B14"/>
    <mergeCell ref="A5:C5"/>
    <mergeCell ref="A6:C6"/>
    <mergeCell ref="A3:D3"/>
    <mergeCell ref="F6:I6"/>
    <mergeCell ref="G25:I25"/>
    <mergeCell ref="A15:B15"/>
    <mergeCell ref="A16:B16"/>
    <mergeCell ref="A17:B17"/>
    <mergeCell ref="G19:J19"/>
    <mergeCell ref="A61:F61"/>
    <mergeCell ref="A57:E57"/>
    <mergeCell ref="A58:E58"/>
    <mergeCell ref="A54:E54"/>
    <mergeCell ref="G26:I26"/>
    <mergeCell ref="A59:E59"/>
    <mergeCell ref="A60:E60"/>
    <mergeCell ref="A56:F56"/>
    <mergeCell ref="A50:F50"/>
    <mergeCell ref="A31:C31"/>
    <mergeCell ref="A33:C33"/>
    <mergeCell ref="A29:C29"/>
    <mergeCell ref="G28:I28"/>
    <mergeCell ref="G29:I29"/>
    <mergeCell ref="A51:E51"/>
    <mergeCell ref="A53:E53"/>
  </mergeCells>
  <hyperlinks>
    <hyperlink ref="A62" r:id="rId1" xr:uid="{00000000-0004-0000-0000-000000000000}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2AE31-AA8F-49E7-897D-517324EE4B6F}">
  <dimension ref="A1:H104"/>
  <sheetViews>
    <sheetView tabSelected="1" topLeftCell="A39" zoomScale="130" zoomScaleNormal="130" workbookViewId="0">
      <selection activeCell="F47" sqref="F47"/>
    </sheetView>
  </sheetViews>
  <sheetFormatPr defaultColWidth="8.77734375" defaultRowHeight="12" x14ac:dyDescent="0.25"/>
  <cols>
    <col min="1" max="1" width="17.44140625" style="58" bestFit="1" customWidth="1"/>
    <col min="2" max="2" width="30.77734375" style="58" bestFit="1" customWidth="1"/>
    <col min="3" max="3" width="16.6640625" style="58" customWidth="1"/>
    <col min="4" max="4" width="16.77734375" style="58" customWidth="1"/>
    <col min="5" max="6" width="15.6640625" style="58" customWidth="1"/>
    <col min="7" max="7" width="11.109375" style="58" customWidth="1"/>
    <col min="8" max="8" width="16.33203125" style="58" customWidth="1"/>
    <col min="9" max="16384" width="8.77734375" style="58"/>
  </cols>
  <sheetData>
    <row r="1" spans="1:6" x14ac:dyDescent="0.25">
      <c r="A1" s="138" t="s">
        <v>141</v>
      </c>
      <c r="B1" s="138"/>
      <c r="C1" s="138"/>
      <c r="D1" s="138"/>
      <c r="E1" s="138"/>
      <c r="F1" s="138"/>
    </row>
    <row r="3" spans="1:6" x14ac:dyDescent="0.25">
      <c r="A3" s="139" t="s">
        <v>65</v>
      </c>
      <c r="B3" s="139"/>
      <c r="C3" s="139"/>
      <c r="D3" s="139"/>
      <c r="E3" s="139"/>
      <c r="F3" s="139"/>
    </row>
    <row r="4" spans="1:6" x14ac:dyDescent="0.25">
      <c r="A4" s="130" t="s">
        <v>66</v>
      </c>
      <c r="B4" s="131"/>
      <c r="C4" s="59">
        <v>2018</v>
      </c>
      <c r="D4" s="60">
        <v>2024</v>
      </c>
      <c r="E4" s="60">
        <v>2025</v>
      </c>
      <c r="F4" s="60">
        <v>2026</v>
      </c>
    </row>
    <row r="5" spans="1:6" x14ac:dyDescent="0.25">
      <c r="A5" s="61" t="s">
        <v>67</v>
      </c>
      <c r="B5" s="61" t="s">
        <v>80</v>
      </c>
      <c r="C5" s="62">
        <v>0</v>
      </c>
      <c r="D5" s="63">
        <v>0</v>
      </c>
      <c r="E5" s="63">
        <v>0</v>
      </c>
      <c r="F5" s="63">
        <v>0</v>
      </c>
    </row>
    <row r="6" spans="1:6" x14ac:dyDescent="0.25">
      <c r="A6" s="140" t="s">
        <v>68</v>
      </c>
      <c r="B6" s="61" t="s">
        <v>93</v>
      </c>
      <c r="C6" s="62">
        <v>0</v>
      </c>
      <c r="D6" s="63">
        <v>0</v>
      </c>
      <c r="E6" s="63">
        <v>0</v>
      </c>
      <c r="F6" s="63">
        <v>0</v>
      </c>
    </row>
    <row r="7" spans="1:6" x14ac:dyDescent="0.25">
      <c r="A7" s="141"/>
      <c r="B7" s="61" t="s">
        <v>69</v>
      </c>
      <c r="C7" s="62">
        <v>0</v>
      </c>
      <c r="D7" s="63">
        <v>0</v>
      </c>
      <c r="E7" s="63">
        <v>0</v>
      </c>
      <c r="F7" s="63">
        <v>0</v>
      </c>
    </row>
    <row r="8" spans="1:6" x14ac:dyDescent="0.25">
      <c r="A8" s="141"/>
      <c r="B8" s="61" t="s">
        <v>70</v>
      </c>
      <c r="C8" s="62">
        <v>0</v>
      </c>
      <c r="D8" s="63">
        <v>0</v>
      </c>
      <c r="E8" s="63">
        <v>0</v>
      </c>
      <c r="F8" s="63">
        <v>0</v>
      </c>
    </row>
    <row r="9" spans="1:6" x14ac:dyDescent="0.25">
      <c r="A9" s="141"/>
      <c r="B9" s="61" t="s">
        <v>71</v>
      </c>
      <c r="C9" s="62">
        <v>0</v>
      </c>
      <c r="D9" s="63">
        <v>0</v>
      </c>
      <c r="E9" s="63">
        <v>0</v>
      </c>
      <c r="F9" s="63">
        <v>0</v>
      </c>
    </row>
    <row r="10" spans="1:6" x14ac:dyDescent="0.25">
      <c r="A10" s="142"/>
      <c r="B10" s="61" t="s">
        <v>72</v>
      </c>
      <c r="C10" s="62">
        <v>0</v>
      </c>
      <c r="D10" s="63">
        <v>0</v>
      </c>
      <c r="E10" s="63">
        <v>0</v>
      </c>
      <c r="F10" s="63">
        <v>0</v>
      </c>
    </row>
    <row r="11" spans="1:6" x14ac:dyDescent="0.25">
      <c r="A11" s="128" t="s">
        <v>73</v>
      </c>
      <c r="B11" s="128"/>
      <c r="C11" s="64">
        <f>C5-C7-C8-C9-C10</f>
        <v>0</v>
      </c>
      <c r="D11" s="65">
        <f>D5-D6-D7-D8-D9-D10</f>
        <v>0</v>
      </c>
      <c r="E11" s="65">
        <f>E5-E6-E7-E8-E9-E10</f>
        <v>0</v>
      </c>
      <c r="F11" s="65">
        <f>F5-F6-F7-F8-F9-F10</f>
        <v>0</v>
      </c>
    </row>
    <row r="13" spans="1:6" x14ac:dyDescent="0.25">
      <c r="A13" s="128" t="s">
        <v>81</v>
      </c>
      <c r="B13" s="128"/>
      <c r="C13" s="66">
        <v>2022</v>
      </c>
      <c r="D13" s="66">
        <v>2023</v>
      </c>
      <c r="E13" s="66">
        <v>2024</v>
      </c>
    </row>
    <row r="14" spans="1:6" x14ac:dyDescent="0.25">
      <c r="A14" s="128"/>
      <c r="B14" s="128"/>
      <c r="C14" s="63">
        <v>0</v>
      </c>
      <c r="D14" s="63">
        <v>0</v>
      </c>
      <c r="E14" s="63">
        <v>0</v>
      </c>
    </row>
    <row r="15" spans="1:6" x14ac:dyDescent="0.25">
      <c r="A15" s="128" t="s">
        <v>83</v>
      </c>
      <c r="B15" s="128"/>
      <c r="C15" s="128"/>
      <c r="D15" s="128"/>
      <c r="E15" s="63">
        <v>0</v>
      </c>
    </row>
    <row r="17" spans="1:6" x14ac:dyDescent="0.25">
      <c r="A17" s="129" t="s">
        <v>79</v>
      </c>
      <c r="B17" s="129"/>
      <c r="C17" s="129"/>
      <c r="D17" s="129"/>
      <c r="E17" s="129"/>
      <c r="F17" s="129"/>
    </row>
    <row r="18" spans="1:6" x14ac:dyDescent="0.25">
      <c r="A18" s="130" t="s">
        <v>66</v>
      </c>
      <c r="B18" s="131"/>
      <c r="C18" s="60">
        <v>2011</v>
      </c>
      <c r="D18" s="60">
        <v>2012</v>
      </c>
      <c r="E18" s="60">
        <v>2013</v>
      </c>
      <c r="F18" s="60">
        <v>2025</v>
      </c>
    </row>
    <row r="19" spans="1:6" x14ac:dyDescent="0.25">
      <c r="A19" s="61" t="s">
        <v>67</v>
      </c>
      <c r="B19" s="61" t="s">
        <v>80</v>
      </c>
      <c r="C19" s="67">
        <v>0</v>
      </c>
      <c r="D19" s="67">
        <v>0</v>
      </c>
      <c r="E19" s="67">
        <v>0</v>
      </c>
      <c r="F19" s="63">
        <v>0</v>
      </c>
    </row>
    <row r="20" spans="1:6" x14ac:dyDescent="0.25">
      <c r="A20" s="132" t="s">
        <v>68</v>
      </c>
      <c r="B20" s="61" t="s">
        <v>69</v>
      </c>
      <c r="C20" s="63">
        <v>0</v>
      </c>
      <c r="D20" s="63">
        <v>0</v>
      </c>
      <c r="E20" s="63">
        <v>0</v>
      </c>
      <c r="F20" s="63">
        <v>0</v>
      </c>
    </row>
    <row r="21" spans="1:6" x14ac:dyDescent="0.25">
      <c r="A21" s="133"/>
      <c r="B21" s="61" t="s">
        <v>70</v>
      </c>
      <c r="C21" s="63">
        <v>0</v>
      </c>
      <c r="D21" s="63">
        <v>0</v>
      </c>
      <c r="E21" s="63">
        <v>0</v>
      </c>
      <c r="F21" s="63">
        <v>0</v>
      </c>
    </row>
    <row r="22" spans="1:6" x14ac:dyDescent="0.25">
      <c r="A22" s="133"/>
      <c r="B22" s="61" t="s">
        <v>71</v>
      </c>
      <c r="C22" s="63">
        <v>0</v>
      </c>
      <c r="D22" s="63">
        <v>0</v>
      </c>
      <c r="E22" s="63">
        <v>0</v>
      </c>
      <c r="F22" s="63">
        <v>0</v>
      </c>
    </row>
    <row r="23" spans="1:6" x14ac:dyDescent="0.25">
      <c r="A23" s="133"/>
      <c r="B23" s="61" t="s">
        <v>72</v>
      </c>
      <c r="C23" s="63">
        <v>0</v>
      </c>
      <c r="D23" s="63">
        <v>0</v>
      </c>
      <c r="E23" s="63">
        <v>0</v>
      </c>
      <c r="F23" s="63">
        <v>0</v>
      </c>
    </row>
    <row r="24" spans="1:6" x14ac:dyDescent="0.25">
      <c r="A24" s="133"/>
      <c r="B24" s="61" t="s">
        <v>74</v>
      </c>
      <c r="C24" s="63">
        <v>0</v>
      </c>
      <c r="D24" s="63">
        <v>0</v>
      </c>
      <c r="E24" s="63">
        <v>0</v>
      </c>
      <c r="F24" s="63">
        <v>0</v>
      </c>
    </row>
    <row r="25" spans="1:6" x14ac:dyDescent="0.25">
      <c r="A25" s="133"/>
      <c r="B25" s="61" t="s">
        <v>75</v>
      </c>
      <c r="C25" s="63">
        <v>0</v>
      </c>
      <c r="D25" s="63">
        <v>0</v>
      </c>
      <c r="E25" s="63">
        <v>0</v>
      </c>
      <c r="F25" s="63">
        <v>0</v>
      </c>
    </row>
    <row r="26" spans="1:6" x14ac:dyDescent="0.25">
      <c r="A26" s="133"/>
      <c r="B26" s="61" t="s">
        <v>76</v>
      </c>
      <c r="C26" s="63">
        <v>0</v>
      </c>
      <c r="D26" s="63">
        <v>0</v>
      </c>
      <c r="E26" s="63">
        <v>0</v>
      </c>
      <c r="F26" s="63">
        <v>0</v>
      </c>
    </row>
    <row r="27" spans="1:6" x14ac:dyDescent="0.25">
      <c r="A27" s="133"/>
      <c r="B27" s="61" t="s">
        <v>77</v>
      </c>
      <c r="C27" s="63">
        <v>0</v>
      </c>
      <c r="D27" s="63">
        <v>0</v>
      </c>
      <c r="E27" s="63">
        <v>0</v>
      </c>
      <c r="F27" s="63">
        <v>0</v>
      </c>
    </row>
    <row r="28" spans="1:6" x14ac:dyDescent="0.25">
      <c r="A28" s="133"/>
      <c r="B28" s="68" t="s">
        <v>87</v>
      </c>
      <c r="C28" s="63">
        <v>0</v>
      </c>
      <c r="D28" s="63">
        <v>0</v>
      </c>
      <c r="E28" s="63">
        <v>0</v>
      </c>
      <c r="F28" s="63">
        <v>0</v>
      </c>
    </row>
    <row r="29" spans="1:6" x14ac:dyDescent="0.25">
      <c r="A29" s="133"/>
      <c r="B29" s="68" t="s">
        <v>118</v>
      </c>
      <c r="C29" s="63">
        <v>0</v>
      </c>
      <c r="D29" s="63">
        <v>0</v>
      </c>
      <c r="E29" s="63">
        <v>0</v>
      </c>
      <c r="F29" s="63">
        <v>0</v>
      </c>
    </row>
    <row r="30" spans="1:6" x14ac:dyDescent="0.25">
      <c r="A30" s="134"/>
      <c r="B30" s="135" t="s">
        <v>82</v>
      </c>
      <c r="C30" s="136"/>
      <c r="D30" s="136"/>
      <c r="E30" s="137"/>
      <c r="F30" s="63">
        <v>0</v>
      </c>
    </row>
    <row r="31" spans="1:6" x14ac:dyDescent="0.25">
      <c r="A31" s="128" t="s">
        <v>73</v>
      </c>
      <c r="B31" s="128"/>
      <c r="C31" s="65">
        <f>C19-C20-C21-C22-C23-C24-C25-C26-C27-C28-C29</f>
        <v>0</v>
      </c>
      <c r="D31" s="65">
        <f t="shared" ref="D31:E31" si="0">D19-D20-D21-D22-D23-D24-D25-D26-D27-D28-D29</f>
        <v>0</v>
      </c>
      <c r="E31" s="65">
        <f t="shared" si="0"/>
        <v>0</v>
      </c>
      <c r="F31" s="65">
        <f>F19-F20-F21-F22-F23-F24-F25-F26-F27-F28-F29-F30</f>
        <v>0</v>
      </c>
    </row>
    <row r="32" spans="1:6" x14ac:dyDescent="0.25">
      <c r="A32" s="69"/>
      <c r="B32" s="69"/>
    </row>
    <row r="33" spans="1:8" x14ac:dyDescent="0.25">
      <c r="A33" s="128" t="s">
        <v>94</v>
      </c>
      <c r="B33" s="128"/>
      <c r="C33" s="70" t="s">
        <v>95</v>
      </c>
      <c r="D33" s="63">
        <v>0</v>
      </c>
      <c r="E33" s="70" t="s">
        <v>96</v>
      </c>
      <c r="F33" s="63">
        <v>0</v>
      </c>
    </row>
    <row r="34" spans="1:8" x14ac:dyDescent="0.25">
      <c r="A34" s="73" t="s">
        <v>52</v>
      </c>
      <c r="B34" s="73"/>
      <c r="C34" s="73"/>
      <c r="D34" s="73"/>
      <c r="E34" s="73"/>
      <c r="F34" s="73"/>
    </row>
    <row r="35" spans="1:8" x14ac:dyDescent="0.25">
      <c r="A35" s="14"/>
      <c r="B35" s="14"/>
      <c r="C35" s="14"/>
      <c r="D35" s="14"/>
      <c r="E35" s="14"/>
      <c r="F35" s="14"/>
    </row>
    <row r="36" spans="1:8" x14ac:dyDescent="0.25">
      <c r="A36" s="14"/>
      <c r="B36" s="14"/>
      <c r="C36" s="14"/>
      <c r="D36" s="14"/>
      <c r="E36" s="14"/>
      <c r="F36" s="14"/>
    </row>
    <row r="37" spans="1:8" x14ac:dyDescent="0.25">
      <c r="A37" s="14"/>
      <c r="B37" s="14"/>
      <c r="C37" s="14"/>
      <c r="D37" s="14"/>
      <c r="E37" s="14"/>
      <c r="F37" s="14"/>
    </row>
    <row r="38" spans="1:8" x14ac:dyDescent="0.25">
      <c r="A38" s="14"/>
      <c r="B38" s="14"/>
      <c r="C38" s="14"/>
      <c r="D38" s="14"/>
      <c r="E38" s="14"/>
      <c r="F38" s="14"/>
    </row>
    <row r="39" spans="1:8" x14ac:dyDescent="0.25">
      <c r="A39" s="14"/>
      <c r="B39" s="14"/>
      <c r="C39" s="14"/>
      <c r="D39" s="14"/>
      <c r="E39" s="14"/>
      <c r="F39" s="14"/>
    </row>
    <row r="40" spans="1:8" x14ac:dyDescent="0.25">
      <c r="C40" s="1"/>
      <c r="D40" s="1"/>
      <c r="E40" s="1"/>
      <c r="F40" s="1"/>
    </row>
    <row r="41" spans="1:8" x14ac:dyDescent="0.25">
      <c r="A41" s="127" t="s">
        <v>143</v>
      </c>
      <c r="B41" s="127"/>
      <c r="C41" s="127"/>
      <c r="D41" s="127"/>
      <c r="E41" s="127"/>
      <c r="F41" s="127"/>
      <c r="G41" s="127"/>
      <c r="H41" s="127"/>
    </row>
    <row r="43" spans="1:8" x14ac:dyDescent="0.25">
      <c r="A43" s="91" t="s">
        <v>145</v>
      </c>
      <c r="B43" s="92"/>
      <c r="C43" s="92"/>
      <c r="D43" s="92"/>
      <c r="E43" s="92"/>
      <c r="F43" s="92"/>
      <c r="G43" s="92"/>
      <c r="H43" s="93"/>
    </row>
    <row r="44" spans="1:8" x14ac:dyDescent="0.25">
      <c r="A44" s="7" t="s">
        <v>103</v>
      </c>
      <c r="B44" s="7" t="s">
        <v>119</v>
      </c>
      <c r="C44" s="7" t="s">
        <v>2</v>
      </c>
      <c r="D44" s="7" t="s">
        <v>99</v>
      </c>
      <c r="E44" s="7" t="s">
        <v>99</v>
      </c>
      <c r="F44" s="7" t="s">
        <v>0</v>
      </c>
      <c r="G44" s="3" t="s">
        <v>144</v>
      </c>
      <c r="H44" s="3" t="s">
        <v>100</v>
      </c>
    </row>
    <row r="45" spans="1:8" x14ac:dyDescent="0.25">
      <c r="A45" s="7" t="s">
        <v>120</v>
      </c>
      <c r="B45" s="53">
        <f>18044.37-16314.57</f>
        <v>1729.7999999999993</v>
      </c>
      <c r="C45" s="53">
        <f t="shared" ref="C45" si="1">(B45/12)*13</f>
        <v>1873.9499999999994</v>
      </c>
      <c r="D45" s="54">
        <f>23.8%+8.5%+2.88%</f>
        <v>0.3518</v>
      </c>
      <c r="E45" s="53">
        <f>C45*D45</f>
        <v>659.25560999999982</v>
      </c>
      <c r="F45" s="53">
        <f t="shared" ref="F45" si="2">C45+E45</f>
        <v>2533.2056099999991</v>
      </c>
      <c r="G45" s="57">
        <v>0</v>
      </c>
      <c r="H45" s="13">
        <f>F45*G45</f>
        <v>0</v>
      </c>
    </row>
    <row r="46" spans="1:8" x14ac:dyDescent="0.25">
      <c r="A46" s="7" t="s">
        <v>121</v>
      </c>
      <c r="B46" s="53">
        <f>18283.31-16533.95</f>
        <v>1749.3600000000006</v>
      </c>
      <c r="C46" s="53">
        <f t="shared" ref="C46:C68" si="3">(B46/12)*13</f>
        <v>1895.1400000000008</v>
      </c>
      <c r="D46" s="54">
        <f t="shared" ref="D46:D69" si="4">23.8%+8.5%+2.88%</f>
        <v>0.3518</v>
      </c>
      <c r="E46" s="53">
        <f t="shared" ref="E46:E68" si="5">C46*D46</f>
        <v>666.71025200000031</v>
      </c>
      <c r="F46" s="53">
        <f t="shared" ref="F46:F68" si="6">C46+E46</f>
        <v>2561.8502520000011</v>
      </c>
      <c r="G46" s="57">
        <v>0</v>
      </c>
      <c r="H46" s="13">
        <f t="shared" ref="H46:H68" si="7">F46*G46</f>
        <v>0</v>
      </c>
    </row>
    <row r="47" spans="1:8" x14ac:dyDescent="0.25">
      <c r="A47" s="7" t="s">
        <v>122</v>
      </c>
      <c r="B47" s="53">
        <f>18653.28-16884.36</f>
        <v>1768.9199999999983</v>
      </c>
      <c r="C47" s="53">
        <f t="shared" si="3"/>
        <v>1916.3299999999981</v>
      </c>
      <c r="D47" s="54">
        <f t="shared" si="4"/>
        <v>0.3518</v>
      </c>
      <c r="E47" s="53">
        <f t="shared" si="5"/>
        <v>674.16489399999932</v>
      </c>
      <c r="F47" s="53">
        <f t="shared" si="6"/>
        <v>2590.4948939999977</v>
      </c>
      <c r="G47" s="57">
        <v>0</v>
      </c>
      <c r="H47" s="13">
        <f t="shared" si="7"/>
        <v>0</v>
      </c>
    </row>
    <row r="48" spans="1:8" x14ac:dyDescent="0.25">
      <c r="A48" s="7" t="s">
        <v>123</v>
      </c>
      <c r="B48" s="53">
        <f>18968.58-17184.06</f>
        <v>1784.5200000000004</v>
      </c>
      <c r="C48" s="53">
        <f t="shared" si="3"/>
        <v>1933.2300000000005</v>
      </c>
      <c r="D48" s="54">
        <f t="shared" si="4"/>
        <v>0.3518</v>
      </c>
      <c r="E48" s="53">
        <f t="shared" si="5"/>
        <v>680.11031400000013</v>
      </c>
      <c r="F48" s="53">
        <f t="shared" si="6"/>
        <v>2613.3403140000005</v>
      </c>
      <c r="G48" s="57">
        <v>0</v>
      </c>
      <c r="H48" s="13">
        <f t="shared" si="7"/>
        <v>0</v>
      </c>
    </row>
    <row r="49" spans="1:8" x14ac:dyDescent="0.25">
      <c r="A49" s="7" t="s">
        <v>124</v>
      </c>
      <c r="B49" s="53">
        <f>19344.93-17539.65</f>
        <v>1805.2799999999988</v>
      </c>
      <c r="C49" s="53">
        <f t="shared" si="3"/>
        <v>1955.7199999999989</v>
      </c>
      <c r="D49" s="54">
        <f t="shared" si="4"/>
        <v>0.3518</v>
      </c>
      <c r="E49" s="53">
        <f t="shared" si="5"/>
        <v>688.02229599999964</v>
      </c>
      <c r="F49" s="53">
        <f t="shared" si="6"/>
        <v>2643.7422959999985</v>
      </c>
      <c r="G49" s="57">
        <v>0</v>
      </c>
      <c r="H49" s="13">
        <f t="shared" si="7"/>
        <v>0</v>
      </c>
    </row>
    <row r="50" spans="1:8" x14ac:dyDescent="0.25">
      <c r="A50" s="7" t="s">
        <v>106</v>
      </c>
      <c r="B50" s="53">
        <f>19034.51-17244.71</f>
        <v>1789.7999999999993</v>
      </c>
      <c r="C50" s="53">
        <f t="shared" si="3"/>
        <v>1938.9499999999994</v>
      </c>
      <c r="D50" s="54">
        <f t="shared" si="4"/>
        <v>0.3518</v>
      </c>
      <c r="E50" s="53">
        <f t="shared" si="5"/>
        <v>682.12260999999978</v>
      </c>
      <c r="F50" s="53">
        <f t="shared" si="6"/>
        <v>2621.0726099999993</v>
      </c>
      <c r="G50" s="57">
        <v>0</v>
      </c>
      <c r="H50" s="13">
        <f t="shared" si="7"/>
        <v>0</v>
      </c>
    </row>
    <row r="51" spans="1:8" x14ac:dyDescent="0.25">
      <c r="A51" s="7" t="s">
        <v>125</v>
      </c>
      <c r="B51" s="53">
        <f>19335.69-17531.61</f>
        <v>1804.0799999999981</v>
      </c>
      <c r="C51" s="53">
        <f t="shared" si="3"/>
        <v>1954.4199999999978</v>
      </c>
      <c r="D51" s="54">
        <f t="shared" si="4"/>
        <v>0.3518</v>
      </c>
      <c r="E51" s="53">
        <f t="shared" si="5"/>
        <v>687.56495599999926</v>
      </c>
      <c r="F51" s="53">
        <f t="shared" si="6"/>
        <v>2641.9849559999971</v>
      </c>
      <c r="G51" s="57">
        <v>0</v>
      </c>
      <c r="H51" s="13">
        <f t="shared" si="7"/>
        <v>0</v>
      </c>
    </row>
    <row r="52" spans="1:8" x14ac:dyDescent="0.25">
      <c r="A52" s="7" t="s">
        <v>107</v>
      </c>
      <c r="B52" s="53">
        <f>19034.51-18229.92</f>
        <v>804.59000000000015</v>
      </c>
      <c r="C52" s="53">
        <f t="shared" si="3"/>
        <v>871.63916666666682</v>
      </c>
      <c r="D52" s="54">
        <f t="shared" si="4"/>
        <v>0.3518</v>
      </c>
      <c r="E52" s="53">
        <f t="shared" si="5"/>
        <v>306.64265883333337</v>
      </c>
      <c r="F52" s="53">
        <f t="shared" si="6"/>
        <v>1178.2818255000002</v>
      </c>
      <c r="G52" s="57">
        <v>0</v>
      </c>
      <c r="H52" s="13">
        <f t="shared" si="7"/>
        <v>0</v>
      </c>
    </row>
    <row r="53" spans="1:8" x14ac:dyDescent="0.25">
      <c r="A53" s="7" t="s">
        <v>126</v>
      </c>
      <c r="B53" s="53">
        <f>20364.41-18496.61</f>
        <v>1867.7999999999993</v>
      </c>
      <c r="C53" s="53">
        <f t="shared" si="3"/>
        <v>2023.4499999999994</v>
      </c>
      <c r="D53" s="54">
        <f t="shared" si="4"/>
        <v>0.3518</v>
      </c>
      <c r="E53" s="53">
        <f t="shared" si="5"/>
        <v>711.84970999999973</v>
      </c>
      <c r="F53" s="53">
        <f t="shared" si="6"/>
        <v>2735.2997099999993</v>
      </c>
      <c r="G53" s="57">
        <v>0</v>
      </c>
      <c r="H53" s="13">
        <f t="shared" si="7"/>
        <v>0</v>
      </c>
    </row>
    <row r="54" spans="1:8" x14ac:dyDescent="0.25">
      <c r="A54" s="7" t="s">
        <v>127</v>
      </c>
      <c r="B54" s="53">
        <f>20692.31-18808.79</f>
        <v>1883.5200000000004</v>
      </c>
      <c r="C54" s="53">
        <f t="shared" si="3"/>
        <v>2040.4800000000005</v>
      </c>
      <c r="D54" s="54">
        <f t="shared" si="4"/>
        <v>0.3518</v>
      </c>
      <c r="E54" s="53">
        <f t="shared" si="5"/>
        <v>717.84086400000012</v>
      </c>
      <c r="F54" s="53">
        <f t="shared" si="6"/>
        <v>2758.3208640000007</v>
      </c>
      <c r="G54" s="57">
        <v>0</v>
      </c>
      <c r="H54" s="13">
        <f t="shared" si="7"/>
        <v>0</v>
      </c>
    </row>
    <row r="55" spans="1:8" x14ac:dyDescent="0.25">
      <c r="A55" s="7" t="s">
        <v>128</v>
      </c>
      <c r="B55" s="53">
        <f>21055.9-19143.58</f>
        <v>1912.3199999999997</v>
      </c>
      <c r="C55" s="53">
        <f t="shared" si="3"/>
        <v>2071.6799999999998</v>
      </c>
      <c r="D55" s="54">
        <f t="shared" si="4"/>
        <v>0.3518</v>
      </c>
      <c r="E55" s="53">
        <f t="shared" si="5"/>
        <v>728.81702399999995</v>
      </c>
      <c r="F55" s="53">
        <f t="shared" si="6"/>
        <v>2800.4970239999998</v>
      </c>
      <c r="G55" s="57">
        <v>0</v>
      </c>
      <c r="H55" s="13">
        <f t="shared" si="7"/>
        <v>0</v>
      </c>
    </row>
    <row r="56" spans="1:8" x14ac:dyDescent="0.25">
      <c r="A56" s="7" t="s">
        <v>129</v>
      </c>
      <c r="B56" s="53">
        <f>21844.36-19878.4</f>
        <v>1965.9599999999991</v>
      </c>
      <c r="C56" s="53">
        <f t="shared" si="3"/>
        <v>2129.7899999999991</v>
      </c>
      <c r="D56" s="54">
        <f t="shared" si="4"/>
        <v>0.3518</v>
      </c>
      <c r="E56" s="53">
        <f t="shared" si="5"/>
        <v>749.26012199999968</v>
      </c>
      <c r="F56" s="53">
        <f t="shared" si="6"/>
        <v>2879.0501219999987</v>
      </c>
      <c r="G56" s="57">
        <v>0</v>
      </c>
      <c r="H56" s="13">
        <f t="shared" si="7"/>
        <v>0</v>
      </c>
    </row>
    <row r="57" spans="1:8" x14ac:dyDescent="0.25">
      <c r="A57" s="7" t="s">
        <v>130</v>
      </c>
      <c r="B57" s="53">
        <f>21392.87-19454.15</f>
        <v>1938.7199999999975</v>
      </c>
      <c r="C57" s="53">
        <f t="shared" si="3"/>
        <v>2100.2799999999975</v>
      </c>
      <c r="D57" s="54">
        <f t="shared" si="4"/>
        <v>0.3518</v>
      </c>
      <c r="E57" s="53">
        <f t="shared" si="5"/>
        <v>738.87850399999911</v>
      </c>
      <c r="F57" s="53">
        <f t="shared" si="6"/>
        <v>2839.1585039999964</v>
      </c>
      <c r="G57" s="57">
        <v>0</v>
      </c>
      <c r="H57" s="13">
        <f t="shared" si="7"/>
        <v>0</v>
      </c>
    </row>
    <row r="58" spans="1:8" x14ac:dyDescent="0.25">
      <c r="A58" s="7" t="s">
        <v>131</v>
      </c>
      <c r="B58" s="53">
        <f>21886.58-19917.86</f>
        <v>1968.7200000000012</v>
      </c>
      <c r="C58" s="53">
        <f t="shared" si="3"/>
        <v>2132.7800000000011</v>
      </c>
      <c r="D58" s="54">
        <f t="shared" si="4"/>
        <v>0.3518</v>
      </c>
      <c r="E58" s="53">
        <f t="shared" si="5"/>
        <v>750.31200400000034</v>
      </c>
      <c r="F58" s="53">
        <f t="shared" si="6"/>
        <v>2883.0920040000015</v>
      </c>
      <c r="G58" s="57">
        <v>0</v>
      </c>
      <c r="H58" s="13">
        <f t="shared" si="7"/>
        <v>0</v>
      </c>
    </row>
    <row r="59" spans="1:8" x14ac:dyDescent="0.25">
      <c r="A59" s="7" t="s">
        <v>132</v>
      </c>
      <c r="B59" s="53">
        <f>22469.78-20472.62</f>
        <v>1997.1599999999999</v>
      </c>
      <c r="C59" s="53">
        <f t="shared" si="3"/>
        <v>2163.5899999999997</v>
      </c>
      <c r="D59" s="54">
        <f t="shared" si="4"/>
        <v>0.3518</v>
      </c>
      <c r="E59" s="53">
        <f t="shared" si="5"/>
        <v>761.15096199999994</v>
      </c>
      <c r="F59" s="53">
        <f t="shared" si="6"/>
        <v>2924.7409619999999</v>
      </c>
      <c r="G59" s="57">
        <v>0</v>
      </c>
      <c r="H59" s="13">
        <f t="shared" si="7"/>
        <v>0</v>
      </c>
    </row>
    <row r="60" spans="1:8" x14ac:dyDescent="0.25">
      <c r="A60" s="7" t="s">
        <v>133</v>
      </c>
      <c r="B60" s="53">
        <f>23151.11-21120.11</f>
        <v>2031</v>
      </c>
      <c r="C60" s="53">
        <f t="shared" si="3"/>
        <v>2200.25</v>
      </c>
      <c r="D60" s="54">
        <f t="shared" si="4"/>
        <v>0.3518</v>
      </c>
      <c r="E60" s="53">
        <f t="shared" si="5"/>
        <v>774.04795000000001</v>
      </c>
      <c r="F60" s="53">
        <f t="shared" si="6"/>
        <v>2974.2979500000001</v>
      </c>
      <c r="G60" s="57">
        <v>0</v>
      </c>
      <c r="H60" s="13">
        <f t="shared" si="7"/>
        <v>0</v>
      </c>
    </row>
    <row r="61" spans="1:8" x14ac:dyDescent="0.25">
      <c r="A61" s="7" t="s">
        <v>134</v>
      </c>
      <c r="B61" s="53">
        <f>23989.8-21901.32</f>
        <v>2088.4799999999996</v>
      </c>
      <c r="C61" s="53">
        <f t="shared" si="3"/>
        <v>2262.5199999999995</v>
      </c>
      <c r="D61" s="54">
        <f t="shared" si="4"/>
        <v>0.3518</v>
      </c>
      <c r="E61" s="53">
        <f t="shared" si="5"/>
        <v>795.95453599999985</v>
      </c>
      <c r="F61" s="53">
        <f t="shared" si="6"/>
        <v>3058.4745359999993</v>
      </c>
      <c r="G61" s="57">
        <v>0</v>
      </c>
      <c r="H61" s="13">
        <f t="shared" si="7"/>
        <v>0</v>
      </c>
    </row>
    <row r="62" spans="1:8" x14ac:dyDescent="0.25">
      <c r="A62" s="7" t="s">
        <v>140</v>
      </c>
      <c r="B62" s="53">
        <f>24655-21901.32</f>
        <v>2753.6800000000003</v>
      </c>
      <c r="C62" s="53">
        <f t="shared" ref="C62" si="8">(B62/12)*13</f>
        <v>2983.1533333333336</v>
      </c>
      <c r="D62" s="54">
        <f t="shared" si="4"/>
        <v>0.3518</v>
      </c>
      <c r="E62" s="53">
        <f t="shared" ref="E62" si="9">C62*D62</f>
        <v>1049.4733426666669</v>
      </c>
      <c r="F62" s="53">
        <f t="shared" ref="F62" si="10">C62+E62</f>
        <v>4032.6266760000008</v>
      </c>
      <c r="G62" s="57">
        <v>0</v>
      </c>
      <c r="H62" s="13">
        <f t="shared" ref="H62" si="11">F62*G62</f>
        <v>0</v>
      </c>
    </row>
    <row r="63" spans="1:8" x14ac:dyDescent="0.25">
      <c r="A63" s="7" t="s">
        <v>108</v>
      </c>
      <c r="B63" s="53">
        <f>23212.35-21166.71</f>
        <v>2045.6399999999994</v>
      </c>
      <c r="C63" s="53">
        <f t="shared" si="3"/>
        <v>2216.1099999999992</v>
      </c>
      <c r="D63" s="54">
        <f t="shared" si="4"/>
        <v>0.3518</v>
      </c>
      <c r="E63" s="53">
        <f t="shared" si="5"/>
        <v>779.62749799999972</v>
      </c>
      <c r="F63" s="53">
        <f t="shared" si="6"/>
        <v>2995.7374979999991</v>
      </c>
      <c r="G63" s="57">
        <v>0</v>
      </c>
      <c r="H63" s="13">
        <f t="shared" si="7"/>
        <v>0</v>
      </c>
    </row>
    <row r="64" spans="1:8" x14ac:dyDescent="0.25">
      <c r="A64" s="7" t="s">
        <v>135</v>
      </c>
      <c r="B64" s="53">
        <f>24307.97-22203.89</f>
        <v>2104.0800000000017</v>
      </c>
      <c r="C64" s="53">
        <f t="shared" si="3"/>
        <v>2279.4200000000019</v>
      </c>
      <c r="D64" s="54">
        <f t="shared" si="4"/>
        <v>0.3518</v>
      </c>
      <c r="E64" s="53">
        <f t="shared" si="5"/>
        <v>801.89995600000066</v>
      </c>
      <c r="F64" s="53">
        <f t="shared" si="6"/>
        <v>3081.3199560000025</v>
      </c>
      <c r="G64" s="57">
        <v>0</v>
      </c>
      <c r="H64" s="13">
        <f t="shared" si="7"/>
        <v>0</v>
      </c>
    </row>
    <row r="65" spans="1:8" x14ac:dyDescent="0.25">
      <c r="A65" s="7" t="s">
        <v>109</v>
      </c>
      <c r="B65" s="53">
        <f>23212.35-24338.14</f>
        <v>-1125.7900000000009</v>
      </c>
      <c r="C65" s="53">
        <f t="shared" si="3"/>
        <v>-1219.6058333333342</v>
      </c>
      <c r="D65" s="54">
        <f t="shared" si="4"/>
        <v>0.3518</v>
      </c>
      <c r="E65" s="53">
        <f t="shared" si="5"/>
        <v>-429.05733216666698</v>
      </c>
      <c r="F65" s="53">
        <f t="shared" si="6"/>
        <v>-1648.6631655000012</v>
      </c>
      <c r="G65" s="57">
        <v>0</v>
      </c>
      <c r="H65" s="13">
        <f t="shared" si="7"/>
        <v>0</v>
      </c>
    </row>
    <row r="66" spans="1:8" x14ac:dyDescent="0.25">
      <c r="A66" s="7" t="s">
        <v>136</v>
      </c>
      <c r="B66" s="53">
        <f>27650.68-25377.76</f>
        <v>2272.9200000000019</v>
      </c>
      <c r="C66" s="53">
        <f t="shared" si="3"/>
        <v>2462.3300000000022</v>
      </c>
      <c r="D66" s="54">
        <f t="shared" si="4"/>
        <v>0.3518</v>
      </c>
      <c r="E66" s="53">
        <f t="shared" si="5"/>
        <v>866.24769400000082</v>
      </c>
      <c r="F66" s="53">
        <f t="shared" si="6"/>
        <v>3328.5776940000032</v>
      </c>
      <c r="G66" s="57">
        <v>0</v>
      </c>
      <c r="H66" s="13">
        <f t="shared" si="7"/>
        <v>0</v>
      </c>
    </row>
    <row r="67" spans="1:8" x14ac:dyDescent="0.25">
      <c r="A67" s="7" t="s">
        <v>137</v>
      </c>
      <c r="B67" s="53">
        <f>28839.46-26510.86</f>
        <v>2328.5999999999985</v>
      </c>
      <c r="C67" s="53">
        <f t="shared" si="3"/>
        <v>2522.6499999999983</v>
      </c>
      <c r="D67" s="54">
        <f t="shared" si="4"/>
        <v>0.3518</v>
      </c>
      <c r="E67" s="53">
        <f t="shared" si="5"/>
        <v>887.46826999999939</v>
      </c>
      <c r="F67" s="53">
        <f t="shared" si="6"/>
        <v>3410.1182699999977</v>
      </c>
      <c r="G67" s="57">
        <v>0</v>
      </c>
      <c r="H67" s="13">
        <f t="shared" si="7"/>
        <v>0</v>
      </c>
    </row>
    <row r="68" spans="1:8" x14ac:dyDescent="0.25">
      <c r="A68" s="7" t="s">
        <v>138</v>
      </c>
      <c r="B68" s="53">
        <f>30830.2-28342.72</f>
        <v>2487.4799999999996</v>
      </c>
      <c r="C68" s="53">
        <f t="shared" si="3"/>
        <v>2694.7699999999995</v>
      </c>
      <c r="D68" s="54">
        <f t="shared" si="4"/>
        <v>0.3518</v>
      </c>
      <c r="E68" s="53">
        <f t="shared" si="5"/>
        <v>948.02008599999988</v>
      </c>
      <c r="F68" s="53">
        <f t="shared" si="6"/>
        <v>3642.7900859999995</v>
      </c>
      <c r="G68" s="57">
        <v>0</v>
      </c>
      <c r="H68" s="13">
        <f t="shared" si="7"/>
        <v>0</v>
      </c>
    </row>
    <row r="69" spans="1:8" x14ac:dyDescent="0.25">
      <c r="A69" s="7" t="s">
        <v>139</v>
      </c>
      <c r="B69" s="53">
        <f>32390.2-28342.72</f>
        <v>4047.4799999999996</v>
      </c>
      <c r="C69" s="53">
        <f t="shared" ref="C69" si="12">(B69/12)*13</f>
        <v>4384.7699999999995</v>
      </c>
      <c r="D69" s="54">
        <f t="shared" si="4"/>
        <v>0.3518</v>
      </c>
      <c r="E69" s="53">
        <f t="shared" ref="E69" si="13">C69*D69</f>
        <v>1542.5620859999999</v>
      </c>
      <c r="F69" s="53">
        <f t="shared" ref="F69" si="14">C69+E69</f>
        <v>5927.3320859999994</v>
      </c>
      <c r="G69" s="57">
        <v>0</v>
      </c>
      <c r="H69" s="13">
        <f t="shared" ref="H69" si="15">F69*G69</f>
        <v>0</v>
      </c>
    </row>
    <row r="70" spans="1:8" x14ac:dyDescent="0.25">
      <c r="A70" s="107" t="s">
        <v>29</v>
      </c>
      <c r="B70" s="107"/>
      <c r="C70" s="107"/>
      <c r="D70" s="107"/>
      <c r="E70" s="107"/>
      <c r="F70" s="107"/>
      <c r="G70" s="56">
        <f>SUM(G45:G69)</f>
        <v>0</v>
      </c>
      <c r="H70" s="8">
        <f>SUM(H45:H69)</f>
        <v>0</v>
      </c>
    </row>
    <row r="71" spans="1:8" x14ac:dyDescent="0.25">
      <c r="C71" s="1"/>
      <c r="D71" s="1"/>
      <c r="E71" s="1"/>
      <c r="F71" s="1"/>
    </row>
    <row r="72" spans="1:8" x14ac:dyDescent="0.25">
      <c r="C72" s="1"/>
      <c r="D72" s="1"/>
      <c r="E72" s="1"/>
      <c r="F72" s="1"/>
    </row>
    <row r="73" spans="1:8" x14ac:dyDescent="0.25">
      <c r="C73" s="1"/>
      <c r="D73" s="1"/>
      <c r="E73" s="1"/>
      <c r="F73" s="1"/>
    </row>
    <row r="74" spans="1:8" x14ac:dyDescent="0.25">
      <c r="C74" s="1"/>
      <c r="D74" s="1"/>
      <c r="E74" s="1"/>
      <c r="F74" s="1"/>
    </row>
    <row r="75" spans="1:8" x14ac:dyDescent="0.25">
      <c r="C75" s="1"/>
      <c r="D75" s="1"/>
      <c r="E75" s="1"/>
      <c r="F75" s="1"/>
    </row>
    <row r="76" spans="1:8" x14ac:dyDescent="0.25">
      <c r="C76" s="1"/>
      <c r="D76" s="1"/>
      <c r="E76" s="1"/>
      <c r="F76" s="1"/>
    </row>
    <row r="77" spans="1:8" x14ac:dyDescent="0.25">
      <c r="C77" s="1"/>
      <c r="D77" s="1"/>
      <c r="E77" s="1"/>
      <c r="F77" s="1"/>
    </row>
    <row r="78" spans="1:8" x14ac:dyDescent="0.25">
      <c r="C78" s="1"/>
      <c r="D78" s="1"/>
      <c r="E78" s="1"/>
      <c r="F78" s="1"/>
    </row>
    <row r="79" spans="1:8" x14ac:dyDescent="0.25">
      <c r="C79" s="1"/>
      <c r="D79" s="1"/>
      <c r="E79" s="1"/>
      <c r="F79" s="1"/>
    </row>
    <row r="80" spans="1:8" x14ac:dyDescent="0.25">
      <c r="C80" s="1"/>
      <c r="D80" s="1"/>
      <c r="E80" s="1"/>
      <c r="F80" s="1"/>
    </row>
    <row r="81" spans="1:8" x14ac:dyDescent="0.25">
      <c r="A81" s="144" t="s">
        <v>112</v>
      </c>
      <c r="B81" s="144"/>
      <c r="C81" s="144"/>
      <c r="D81" s="144"/>
      <c r="E81" s="144"/>
      <c r="F81" s="144"/>
      <c r="G81" s="144"/>
      <c r="H81" s="144"/>
    </row>
    <row r="83" spans="1:8" ht="13.95" customHeight="1" x14ac:dyDescent="0.25">
      <c r="A83" s="145" t="s">
        <v>102</v>
      </c>
      <c r="B83" s="146"/>
      <c r="C83" s="146"/>
      <c r="D83" s="146"/>
      <c r="E83" s="146"/>
      <c r="F83" s="146"/>
      <c r="G83" s="146"/>
      <c r="H83" s="147"/>
    </row>
    <row r="84" spans="1:8" x14ac:dyDescent="0.25">
      <c r="A84" s="7" t="s">
        <v>103</v>
      </c>
      <c r="B84" s="7" t="s">
        <v>111</v>
      </c>
      <c r="C84" s="7" t="s">
        <v>2</v>
      </c>
      <c r="D84" s="7" t="s">
        <v>99</v>
      </c>
      <c r="E84" s="7" t="s">
        <v>99</v>
      </c>
      <c r="F84" s="7" t="s">
        <v>0</v>
      </c>
      <c r="G84" s="3" t="s">
        <v>101</v>
      </c>
      <c r="H84" s="3" t="s">
        <v>100</v>
      </c>
    </row>
    <row r="85" spans="1:8" x14ac:dyDescent="0.25">
      <c r="A85" s="7" t="s">
        <v>104</v>
      </c>
      <c r="B85" s="53">
        <v>16314.57</v>
      </c>
      <c r="C85" s="53">
        <f t="shared" ref="C85:C90" si="16">(B85/12)*13</f>
        <v>17674.1175</v>
      </c>
      <c r="D85" s="54">
        <f t="shared" ref="D85:D90" si="17">23.8%+8.5%+2.88%</f>
        <v>0.3518</v>
      </c>
      <c r="E85" s="53">
        <f>C85*D85</f>
        <v>6217.7545365000005</v>
      </c>
      <c r="F85" s="53">
        <f t="shared" ref="F85:F90" si="18">C85+E85</f>
        <v>23891.872036500001</v>
      </c>
      <c r="G85" s="57">
        <v>0</v>
      </c>
      <c r="H85" s="13">
        <f>F85*G85</f>
        <v>0</v>
      </c>
    </row>
    <row r="86" spans="1:8" x14ac:dyDescent="0.25">
      <c r="A86" s="7" t="s">
        <v>106</v>
      </c>
      <c r="B86" s="53">
        <v>17244.71</v>
      </c>
      <c r="C86" s="53">
        <f t="shared" si="16"/>
        <v>18681.769166666665</v>
      </c>
      <c r="D86" s="54">
        <f t="shared" si="17"/>
        <v>0.3518</v>
      </c>
      <c r="E86" s="53">
        <f t="shared" ref="E86:E90" si="19">C86*D86</f>
        <v>6572.2463928333327</v>
      </c>
      <c r="F86" s="53">
        <f t="shared" si="18"/>
        <v>25254.015559499996</v>
      </c>
      <c r="G86" s="57">
        <v>0</v>
      </c>
      <c r="H86" s="13">
        <f t="shared" ref="H86:H90" si="20">F86*G86</f>
        <v>0</v>
      </c>
    </row>
    <row r="87" spans="1:8" x14ac:dyDescent="0.25">
      <c r="A87" s="7" t="s">
        <v>107</v>
      </c>
      <c r="B87" s="53">
        <v>18229.919999999998</v>
      </c>
      <c r="C87" s="53">
        <f t="shared" si="16"/>
        <v>19749.079999999998</v>
      </c>
      <c r="D87" s="54">
        <f t="shared" si="17"/>
        <v>0.3518</v>
      </c>
      <c r="E87" s="53">
        <f t="shared" si="19"/>
        <v>6947.7263439999997</v>
      </c>
      <c r="F87" s="53">
        <f t="shared" si="18"/>
        <v>26696.806343999997</v>
      </c>
      <c r="G87" s="57">
        <v>0</v>
      </c>
      <c r="H87" s="13">
        <f t="shared" si="20"/>
        <v>0</v>
      </c>
    </row>
    <row r="88" spans="1:8" x14ac:dyDescent="0.25">
      <c r="A88" s="7" t="s">
        <v>105</v>
      </c>
      <c r="B88" s="53">
        <v>19454.150000000001</v>
      </c>
      <c r="C88" s="53">
        <f t="shared" si="16"/>
        <v>21075.32916666667</v>
      </c>
      <c r="D88" s="54">
        <f t="shared" si="17"/>
        <v>0.3518</v>
      </c>
      <c r="E88" s="53">
        <f t="shared" si="19"/>
        <v>7414.3008008333345</v>
      </c>
      <c r="F88" s="53">
        <f t="shared" si="18"/>
        <v>28489.629967500005</v>
      </c>
      <c r="G88" s="57">
        <v>0</v>
      </c>
      <c r="H88" s="13">
        <f t="shared" si="20"/>
        <v>0</v>
      </c>
    </row>
    <row r="89" spans="1:8" x14ac:dyDescent="0.25">
      <c r="A89" s="7" t="s">
        <v>108</v>
      </c>
      <c r="B89" s="53">
        <v>21166.71</v>
      </c>
      <c r="C89" s="53">
        <f t="shared" si="16"/>
        <v>22930.602500000001</v>
      </c>
      <c r="D89" s="54">
        <f t="shared" si="17"/>
        <v>0.3518</v>
      </c>
      <c r="E89" s="53">
        <f t="shared" si="19"/>
        <v>8066.9859595000007</v>
      </c>
      <c r="F89" s="53">
        <f t="shared" si="18"/>
        <v>30997.588459500003</v>
      </c>
      <c r="G89" s="57">
        <v>0</v>
      </c>
      <c r="H89" s="13">
        <f t="shared" si="20"/>
        <v>0</v>
      </c>
    </row>
    <row r="90" spans="1:8" x14ac:dyDescent="0.25">
      <c r="A90" s="7" t="s">
        <v>109</v>
      </c>
      <c r="B90" s="53">
        <v>24338.14</v>
      </c>
      <c r="C90" s="53">
        <f t="shared" si="16"/>
        <v>26366.318333333333</v>
      </c>
      <c r="D90" s="54">
        <f t="shared" si="17"/>
        <v>0.3518</v>
      </c>
      <c r="E90" s="53">
        <f t="shared" si="19"/>
        <v>9275.6707896666667</v>
      </c>
      <c r="F90" s="53">
        <f t="shared" si="18"/>
        <v>35641.989122999999</v>
      </c>
      <c r="G90" s="57">
        <v>0</v>
      </c>
      <c r="H90" s="13">
        <f t="shared" si="20"/>
        <v>0</v>
      </c>
    </row>
    <row r="91" spans="1:8" x14ac:dyDescent="0.25">
      <c r="A91" s="107" t="s">
        <v>29</v>
      </c>
      <c r="B91" s="107"/>
      <c r="C91" s="107"/>
      <c r="D91" s="107"/>
      <c r="E91" s="107"/>
      <c r="F91" s="107"/>
      <c r="G91" s="56">
        <f>SUM(G85:G90)</f>
        <v>0</v>
      </c>
      <c r="H91" s="8">
        <f>SUM(H85:H90)</f>
        <v>0</v>
      </c>
    </row>
    <row r="93" spans="1:8" x14ac:dyDescent="0.25">
      <c r="A93" s="148" t="s">
        <v>110</v>
      </c>
      <c r="B93" s="149"/>
      <c r="C93" s="149"/>
      <c r="D93" s="149"/>
      <c r="E93" s="149"/>
      <c r="F93" s="149"/>
      <c r="G93" s="149"/>
      <c r="H93" s="150"/>
    </row>
    <row r="94" spans="1:8" x14ac:dyDescent="0.25">
      <c r="A94" s="7" t="s">
        <v>103</v>
      </c>
      <c r="B94" s="7" t="s">
        <v>111</v>
      </c>
      <c r="C94" s="7" t="s">
        <v>2</v>
      </c>
      <c r="D94" s="7" t="s">
        <v>99</v>
      </c>
      <c r="E94" s="7" t="s">
        <v>99</v>
      </c>
      <c r="F94" s="7" t="s">
        <v>0</v>
      </c>
      <c r="G94" s="3" t="s">
        <v>114</v>
      </c>
      <c r="H94" s="3" t="s">
        <v>100</v>
      </c>
    </row>
    <row r="95" spans="1:8" x14ac:dyDescent="0.25">
      <c r="A95" s="7" t="s">
        <v>104</v>
      </c>
      <c r="B95" s="53">
        <v>16314.57</v>
      </c>
      <c r="C95" s="53">
        <f t="shared" ref="C95:C100" si="21">(B95/12)*13</f>
        <v>17674.1175</v>
      </c>
      <c r="D95" s="54">
        <f t="shared" ref="D95:D100" si="22">23.8%+8.5%+2.88%</f>
        <v>0.3518</v>
      </c>
      <c r="E95" s="53">
        <f>C95*D95</f>
        <v>6217.7545365000005</v>
      </c>
      <c r="F95" s="53">
        <f t="shared" ref="F95:F100" si="23">C95+E95</f>
        <v>23891.872036500001</v>
      </c>
      <c r="G95" s="57">
        <v>0</v>
      </c>
      <c r="H95" s="13">
        <f>F95*G95</f>
        <v>0</v>
      </c>
    </row>
    <row r="96" spans="1:8" x14ac:dyDescent="0.25">
      <c r="A96" s="7" t="s">
        <v>106</v>
      </c>
      <c r="B96" s="53">
        <v>17244.71</v>
      </c>
      <c r="C96" s="53">
        <f t="shared" si="21"/>
        <v>18681.769166666665</v>
      </c>
      <c r="D96" s="54">
        <f t="shared" si="22"/>
        <v>0.3518</v>
      </c>
      <c r="E96" s="53">
        <f t="shared" ref="E96:E100" si="24">C96*D96</f>
        <v>6572.2463928333327</v>
      </c>
      <c r="F96" s="53">
        <f t="shared" si="23"/>
        <v>25254.015559499996</v>
      </c>
      <c r="G96" s="57">
        <v>0</v>
      </c>
      <c r="H96" s="13">
        <f t="shared" ref="H96:H100" si="25">F96*G96</f>
        <v>0</v>
      </c>
    </row>
    <row r="97" spans="1:8" x14ac:dyDescent="0.25">
      <c r="A97" s="7" t="s">
        <v>107</v>
      </c>
      <c r="B97" s="53">
        <v>18229.919999999998</v>
      </c>
      <c r="C97" s="53">
        <f t="shared" si="21"/>
        <v>19749.079999999998</v>
      </c>
      <c r="D97" s="54">
        <f t="shared" si="22"/>
        <v>0.3518</v>
      </c>
      <c r="E97" s="53">
        <f t="shared" si="24"/>
        <v>6947.7263439999997</v>
      </c>
      <c r="F97" s="53">
        <f t="shared" si="23"/>
        <v>26696.806343999997</v>
      </c>
      <c r="G97" s="57">
        <v>0</v>
      </c>
      <c r="H97" s="13">
        <f t="shared" si="25"/>
        <v>0</v>
      </c>
    </row>
    <row r="98" spans="1:8" x14ac:dyDescent="0.25">
      <c r="A98" s="7" t="s">
        <v>105</v>
      </c>
      <c r="B98" s="53">
        <v>19454.150000000001</v>
      </c>
      <c r="C98" s="53">
        <f t="shared" si="21"/>
        <v>21075.32916666667</v>
      </c>
      <c r="D98" s="54">
        <f t="shared" si="22"/>
        <v>0.3518</v>
      </c>
      <c r="E98" s="53">
        <f t="shared" si="24"/>
        <v>7414.3008008333345</v>
      </c>
      <c r="F98" s="53">
        <f t="shared" si="23"/>
        <v>28489.629967500005</v>
      </c>
      <c r="G98" s="57">
        <v>0</v>
      </c>
      <c r="H98" s="13">
        <f t="shared" si="25"/>
        <v>0</v>
      </c>
    </row>
    <row r="99" spans="1:8" x14ac:dyDescent="0.25">
      <c r="A99" s="7" t="s">
        <v>108</v>
      </c>
      <c r="B99" s="53">
        <v>21166.71</v>
      </c>
      <c r="C99" s="53">
        <f t="shared" si="21"/>
        <v>22930.602500000001</v>
      </c>
      <c r="D99" s="54">
        <f t="shared" si="22"/>
        <v>0.3518</v>
      </c>
      <c r="E99" s="53">
        <f t="shared" si="24"/>
        <v>8066.9859595000007</v>
      </c>
      <c r="F99" s="53">
        <f t="shared" si="23"/>
        <v>30997.588459500003</v>
      </c>
      <c r="G99" s="57">
        <v>0</v>
      </c>
      <c r="H99" s="13">
        <f t="shared" si="25"/>
        <v>0</v>
      </c>
    </row>
    <row r="100" spans="1:8" x14ac:dyDescent="0.25">
      <c r="A100" s="7" t="s">
        <v>109</v>
      </c>
      <c r="B100" s="53">
        <v>24338.14</v>
      </c>
      <c r="C100" s="53">
        <f t="shared" si="21"/>
        <v>26366.318333333333</v>
      </c>
      <c r="D100" s="54">
        <f t="shared" si="22"/>
        <v>0.3518</v>
      </c>
      <c r="E100" s="53">
        <f t="shared" si="24"/>
        <v>9275.6707896666667</v>
      </c>
      <c r="F100" s="53">
        <f t="shared" si="23"/>
        <v>35641.989122999999</v>
      </c>
      <c r="G100" s="57">
        <v>0</v>
      </c>
      <c r="H100" s="13">
        <f t="shared" si="25"/>
        <v>0</v>
      </c>
    </row>
    <row r="101" spans="1:8" x14ac:dyDescent="0.25">
      <c r="A101" s="107" t="s">
        <v>29</v>
      </c>
      <c r="B101" s="107"/>
      <c r="C101" s="107"/>
      <c r="D101" s="107"/>
      <c r="E101" s="107"/>
      <c r="F101" s="107"/>
      <c r="G101" s="56">
        <f>SUM(G95:G100)</f>
        <v>0</v>
      </c>
      <c r="H101" s="8">
        <f>SUM(H95:H100)</f>
        <v>0</v>
      </c>
    </row>
    <row r="103" spans="1:8" x14ac:dyDescent="0.25">
      <c r="A103" s="143" t="s">
        <v>113</v>
      </c>
      <c r="B103" s="143"/>
      <c r="C103" s="143"/>
      <c r="D103" s="143"/>
      <c r="E103" s="143"/>
      <c r="F103" s="143"/>
      <c r="G103" s="143"/>
      <c r="H103" s="71">
        <f>H101-H91</f>
        <v>0</v>
      </c>
    </row>
    <row r="104" spans="1:8" x14ac:dyDescent="0.25">
      <c r="A104" s="103" t="s">
        <v>26</v>
      </c>
      <c r="B104" s="103"/>
    </row>
  </sheetData>
  <sheetProtection algorithmName="SHA-512" hashValue="crEiT6/CG2iXyovDQuc3Kth5yiSlfNKJPPqkoHGfODOIT+N4D5CjiiOJw6jHBhVZHI5FILun59p1WTM6N2C75w==" saltValue="4gDbfSUXmlUeregea6Ob+w==" spinCount="100000" sheet="1" objects="1" scenarios="1"/>
  <mergeCells count="24">
    <mergeCell ref="A103:G103"/>
    <mergeCell ref="A104:B104"/>
    <mergeCell ref="A81:H81"/>
    <mergeCell ref="A83:H83"/>
    <mergeCell ref="A91:F91"/>
    <mergeCell ref="A93:H93"/>
    <mergeCell ref="A101:F101"/>
    <mergeCell ref="A1:F1"/>
    <mergeCell ref="A3:F3"/>
    <mergeCell ref="A4:B4"/>
    <mergeCell ref="A11:B11"/>
    <mergeCell ref="A6:A10"/>
    <mergeCell ref="A41:H41"/>
    <mergeCell ref="A43:H43"/>
    <mergeCell ref="A70:F70"/>
    <mergeCell ref="A13:B14"/>
    <mergeCell ref="A15:D15"/>
    <mergeCell ref="A17:F17"/>
    <mergeCell ref="A18:B18"/>
    <mergeCell ref="A20:A30"/>
    <mergeCell ref="B30:E30"/>
    <mergeCell ref="A31:B31"/>
    <mergeCell ref="A33:B33"/>
    <mergeCell ref="A34:F34"/>
  </mergeCells>
  <phoneticPr fontId="17" type="noConversion"/>
  <hyperlinks>
    <hyperlink ref="A104" r:id="rId1" xr:uid="{8735B6A0-6D99-4F78-A944-577649E0805F}"/>
  </hyperlinks>
  <pageMargins left="0.25" right="0.25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D75D9-5FCB-4AF8-914D-714B23DECF7D}">
  <dimension ref="A1:B33"/>
  <sheetViews>
    <sheetView zoomScale="115" zoomScaleNormal="115" workbookViewId="0">
      <selection activeCell="A33" sqref="A33"/>
    </sheetView>
  </sheetViews>
  <sheetFormatPr defaultColWidth="70.21875" defaultRowHeight="14.4" x14ac:dyDescent="0.3"/>
  <cols>
    <col min="1" max="1" width="113.21875" customWidth="1"/>
    <col min="2" max="2" width="18.88671875" customWidth="1"/>
  </cols>
  <sheetData>
    <row r="1" spans="1:2" x14ac:dyDescent="0.3">
      <c r="A1" s="151" t="s">
        <v>115</v>
      </c>
      <c r="B1" s="151"/>
    </row>
    <row r="2" spans="1:2" ht="15.6" x14ac:dyDescent="0.3">
      <c r="A2" s="48" t="s">
        <v>91</v>
      </c>
      <c r="B2" s="49">
        <f>'limiti assunzioni'!J4</f>
        <v>0</v>
      </c>
    </row>
    <row r="3" spans="1:2" ht="15.6" x14ac:dyDescent="0.3">
      <c r="A3" s="48" t="s">
        <v>92</v>
      </c>
      <c r="B3" s="49">
        <f>'limiti assunzioni'!J5</f>
        <v>0</v>
      </c>
    </row>
    <row r="4" spans="1:2" ht="15.6" x14ac:dyDescent="0.3">
      <c r="A4" s="48" t="s">
        <v>89</v>
      </c>
      <c r="B4" s="49">
        <f>'limiti assunzioni'!J34</f>
        <v>0</v>
      </c>
    </row>
    <row r="5" spans="1:2" ht="15.6" x14ac:dyDescent="0.3">
      <c r="A5" s="48" t="s">
        <v>88</v>
      </c>
      <c r="B5" s="49">
        <f>'limiti assunzioni'!D5</f>
        <v>0</v>
      </c>
    </row>
    <row r="6" spans="1:2" ht="15.6" x14ac:dyDescent="0.3">
      <c r="A6" s="48" t="s">
        <v>90</v>
      </c>
      <c r="B6" s="49">
        <f>'limiti assunzioni'!F57</f>
        <v>0</v>
      </c>
    </row>
    <row r="33" spans="1:1" x14ac:dyDescent="0.3">
      <c r="A33" s="72" t="s">
        <v>116</v>
      </c>
    </row>
  </sheetData>
  <sheetProtection algorithmName="SHA-512" hashValue="C1HVv0etBZoVVpjx88djwspUq4UGBEKsWYREv4IFWMRKq7YzEO5UyNVMi3+ldDHBHIbCdcRNd0lPyJLKcHuYMw==" saltValue="a0EjlfEYTBcqlKDmDEKOjA==" spinCount="100000" sheet="1" objects="1" scenarios="1"/>
  <mergeCells count="1">
    <mergeCell ref="A1:B1"/>
  </mergeCells>
  <hyperlinks>
    <hyperlink ref="A33" r:id="rId1" xr:uid="{BF001339-A4B1-4741-9A8F-88AFF52B75F7}"/>
  </hyperlinks>
  <pageMargins left="0.25" right="0.25" top="0.75" bottom="0.75" header="0.3" footer="0.3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limiti assunzioni</vt:lpstr>
      <vt:lpstr>spesa personale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2025-10-02T08:38:14Z</dcterms:modified>
</cp:coreProperties>
</file>