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carmi\OneDrive\Documenti\Documenti Simone\Pubblica ammnistrazione\contratti\CCDI\"/>
    </mc:Choice>
  </mc:AlternateContent>
  <xr:revisionPtr revIDLastSave="0" documentId="13_ncr:1_{2485DFD4-F1FB-4E57-9F8C-8A6AC63CC0AF}" xr6:coauthVersionLast="47" xr6:coauthVersionMax="47" xr10:uidLastSave="{00000000-0000-0000-0000-000000000000}"/>
  <bookViews>
    <workbookView xWindow="-108" yWindow="-108" windowWidth="23256" windowHeight="13176" xr2:uid="{00000000-000D-0000-FFFF-FFFF00000000}"/>
  </bookViews>
  <sheets>
    <sheet name="progressione a regime" sheetId="1" r:id="rId1"/>
    <sheet name="indennità comparto " sheetId="2" r:id="rId2"/>
    <sheet name="differenziali stipendial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45" i="1"/>
  <c r="F43" i="1"/>
  <c r="F42" i="1"/>
  <c r="F44" i="1"/>
  <c r="D33" i="3"/>
  <c r="D34" i="3" s="1"/>
  <c r="B32" i="3"/>
  <c r="G32" i="3" s="1"/>
  <c r="G31" i="3"/>
  <c r="B31" i="3"/>
  <c r="B30" i="3"/>
  <c r="G30" i="3" s="1"/>
  <c r="B29" i="3"/>
  <c r="G29" i="3" s="1"/>
  <c r="B28" i="3"/>
  <c r="G28" i="3" s="1"/>
  <c r="G27" i="3"/>
  <c r="G33" i="3" s="1"/>
  <c r="B27" i="3"/>
  <c r="F26" i="3"/>
  <c r="F34" i="3" s="1"/>
  <c r="D26" i="3"/>
  <c r="B25" i="3"/>
  <c r="B24" i="3"/>
  <c r="G24" i="3" s="1"/>
  <c r="G23" i="3"/>
  <c r="B23" i="3"/>
  <c r="G25" i="3" s="1"/>
  <c r="G22" i="3"/>
  <c r="B22" i="3"/>
  <c r="G21" i="3"/>
  <c r="B21" i="3"/>
  <c r="B20" i="3"/>
  <c r="G20" i="3" s="1"/>
  <c r="G19" i="3"/>
  <c r="B19" i="3"/>
  <c r="G18" i="3"/>
  <c r="B18" i="3"/>
  <c r="D17" i="3"/>
  <c r="B16" i="3"/>
  <c r="G15" i="3" s="1"/>
  <c r="B15" i="3"/>
  <c r="B14" i="3"/>
  <c r="B13" i="3"/>
  <c r="B12" i="3"/>
  <c r="G12" i="3" s="1"/>
  <c r="B11" i="3"/>
  <c r="F10" i="3"/>
  <c r="D10" i="3"/>
  <c r="B9" i="3"/>
  <c r="G9" i="3" s="1"/>
  <c r="G8" i="3"/>
  <c r="B8" i="3"/>
  <c r="B7" i="3"/>
  <c r="G7" i="3" s="1"/>
  <c r="B6" i="3"/>
  <c r="G6" i="3" s="1"/>
  <c r="B5" i="3"/>
  <c r="G5" i="3" s="1"/>
  <c r="G4" i="3"/>
  <c r="B4" i="3"/>
  <c r="B3" i="3"/>
  <c r="G3" i="3" s="1"/>
  <c r="F6" i="2"/>
  <c r="I6" i="2" s="1"/>
  <c r="F5" i="2"/>
  <c r="I5" i="2" s="1"/>
  <c r="F4" i="2"/>
  <c r="I4" i="2" s="1"/>
  <c r="I35" i="1"/>
  <c r="G35" i="1"/>
  <c r="E35" i="1"/>
  <c r="C35" i="1"/>
  <c r="J34" i="1"/>
  <c r="H34" i="1"/>
  <c r="F34" i="1"/>
  <c r="D34" i="1"/>
  <c r="J27" i="1"/>
  <c r="H27" i="1"/>
  <c r="F27" i="1"/>
  <c r="D27" i="1"/>
  <c r="J18" i="1"/>
  <c r="H18" i="1"/>
  <c r="F18" i="1"/>
  <c r="D18" i="1"/>
  <c r="F3" i="2"/>
  <c r="K11" i="1"/>
  <c r="D11" i="1"/>
  <c r="F11" i="1"/>
  <c r="H11" i="1"/>
  <c r="J11" i="1"/>
  <c r="I8" i="1"/>
  <c r="I7" i="1" s="1"/>
  <c r="I6" i="1" s="1"/>
  <c r="I5" i="1" s="1"/>
  <c r="I4" i="1" s="1"/>
  <c r="I9" i="1"/>
  <c r="I10" i="1"/>
  <c r="K10" i="1" s="1"/>
  <c r="K9" i="1"/>
  <c r="I12" i="1"/>
  <c r="I13" i="1"/>
  <c r="I14" i="1"/>
  <c r="I15" i="1"/>
  <c r="I16" i="1"/>
  <c r="K33" i="1"/>
  <c r="K32" i="1"/>
  <c r="K31" i="1"/>
  <c r="K30" i="1"/>
  <c r="K29" i="1"/>
  <c r="K28" i="1"/>
  <c r="K26" i="1"/>
  <c r="K25" i="1"/>
  <c r="K24" i="1"/>
  <c r="K23" i="1"/>
  <c r="K22" i="1"/>
  <c r="K21" i="1"/>
  <c r="K20" i="1"/>
  <c r="K19" i="1"/>
  <c r="K17" i="1"/>
  <c r="K16" i="1"/>
  <c r="I17" i="1"/>
  <c r="G17" i="1"/>
  <c r="G16" i="1" s="1"/>
  <c r="G15" i="1" s="1"/>
  <c r="G14" i="1" s="1"/>
  <c r="G13" i="1" s="1"/>
  <c r="G12" i="1" s="1"/>
  <c r="C33" i="1"/>
  <c r="C32" i="1"/>
  <c r="C31" i="1"/>
  <c r="C30" i="1"/>
  <c r="C29" i="1"/>
  <c r="C26" i="1"/>
  <c r="C25" i="1"/>
  <c r="C24" i="1"/>
  <c r="C23" i="1"/>
  <c r="C22" i="1"/>
  <c r="C21" i="1"/>
  <c r="C20" i="1"/>
  <c r="C17" i="1"/>
  <c r="C16" i="1"/>
  <c r="C15" i="1"/>
  <c r="C14" i="1"/>
  <c r="C13" i="1"/>
  <c r="C10" i="1"/>
  <c r="C9" i="1"/>
  <c r="C8" i="1"/>
  <c r="C7" i="1"/>
  <c r="C6" i="1"/>
  <c r="C5" i="1"/>
  <c r="C4" i="1"/>
  <c r="C12" i="1"/>
  <c r="C19" i="1"/>
  <c r="C28" i="1"/>
  <c r="E33" i="1"/>
  <c r="E32" i="1" s="1"/>
  <c r="E31" i="1" s="1"/>
  <c r="E30" i="1" s="1"/>
  <c r="E29" i="1" s="1"/>
  <c r="E28" i="1" s="1"/>
  <c r="E26" i="1"/>
  <c r="E25" i="1" s="1"/>
  <c r="E17" i="1"/>
  <c r="E10" i="1"/>
  <c r="E9" i="1" s="1"/>
  <c r="G26" i="3" l="1"/>
  <c r="G10" i="3"/>
  <c r="G16" i="3"/>
  <c r="G13" i="3"/>
  <c r="G14" i="3"/>
  <c r="G11" i="3"/>
  <c r="G17" i="3" s="1"/>
  <c r="I3" i="2"/>
  <c r="I7" i="2" s="1"/>
  <c r="G4" i="2"/>
  <c r="G6" i="2"/>
  <c r="H4" i="2"/>
  <c r="H6" i="2"/>
  <c r="F7" i="2"/>
  <c r="G3" i="2"/>
  <c r="G5" i="2"/>
  <c r="H3" i="2"/>
  <c r="H5" i="2"/>
  <c r="K7" i="1"/>
  <c r="K8" i="1"/>
  <c r="K12" i="1"/>
  <c r="K15" i="1"/>
  <c r="E24" i="1"/>
  <c r="E16" i="1"/>
  <c r="E8" i="1"/>
  <c r="G34" i="3" l="1"/>
  <c r="H7" i="2"/>
  <c r="C36" i="1"/>
  <c r="G7" i="2"/>
  <c r="K6" i="1"/>
  <c r="K13" i="1"/>
  <c r="K14" i="1"/>
  <c r="K34" i="1"/>
  <c r="E23" i="1"/>
  <c r="E15" i="1"/>
  <c r="E7" i="1"/>
  <c r="K5" i="1" l="1"/>
  <c r="K4" i="1"/>
  <c r="E22" i="1"/>
  <c r="E14" i="1"/>
  <c r="E6" i="1"/>
  <c r="E21" i="1" l="1"/>
  <c r="E13" i="1"/>
  <c r="E5" i="1"/>
  <c r="K27" i="1" l="1"/>
  <c r="E4" i="1"/>
  <c r="E12" i="1"/>
  <c r="K18" i="1" s="1"/>
  <c r="K35" i="1" l="1"/>
</calcChain>
</file>

<file path=xl/sharedStrings.xml><?xml version="1.0" encoding="utf-8"?>
<sst xmlns="http://schemas.openxmlformats.org/spreadsheetml/2006/main" count="101" uniqueCount="78">
  <si>
    <t>Totale complessivo</t>
  </si>
  <si>
    <t>Totale parziale</t>
  </si>
  <si>
    <t>Differenziali</t>
  </si>
  <si>
    <t>N. dipendenti</t>
  </si>
  <si>
    <t>STIPENDI TABELLARI E DIFFERENZIALI ECONOMICI CCNL 2022</t>
  </si>
  <si>
    <t>Aree</t>
  </si>
  <si>
    <t>Valori economici</t>
  </si>
  <si>
    <t>Retrib. cat.</t>
  </si>
  <si>
    <t>Retrib. aree</t>
  </si>
  <si>
    <t>N.B. I numero dei dipendenti in servizio va inserito nella posizione iniziale delle rispettive nuove aree, se invece la posizione economica già in godimento dal dipendente ha un costo superiore al livello inziale dell'area allora il dipendente va inserito nel corrispondente differenziale della categoria, gli importi riportati sono comprensivi della 13° mensilità.</t>
  </si>
  <si>
    <t>COMUNE DI ___________________________________________ - ANNO: __________</t>
  </si>
  <si>
    <t>Retrib. Aree ord. e albi prof.</t>
  </si>
  <si>
    <t>Retrib. Aree educ. e coord. PL</t>
  </si>
  <si>
    <t>OPERATORI (CAT. A)</t>
  </si>
  <si>
    <t>OPERATORI ESPERTI (CAT. B)</t>
  </si>
  <si>
    <t>ISTRUTTORI (CAT. C)</t>
  </si>
  <si>
    <t>FUNZIONARI ED ELEVATA QUALIFICAZIONE (CAT. D)</t>
  </si>
  <si>
    <t>COSTO COMPLESSIVO DELL'INDENNITA' DI COMPARTO ALLA DATA CORRENTE</t>
  </si>
  <si>
    <t>Categorie</t>
  </si>
  <si>
    <t>Indennità di comparto dal 1/1/02</t>
  </si>
  <si>
    <t>Indennità di comparto dal 1/1/03</t>
  </si>
  <si>
    <t>Indennità di comparto dal 31/12/03</t>
  </si>
  <si>
    <t>Complessiva dal 31/12/03</t>
  </si>
  <si>
    <t>N° dipendenti *</t>
  </si>
  <si>
    <t>Quota da imputarsi al bilancio 2009</t>
  </si>
  <si>
    <t>Quota da imputarsi al fondo 2009</t>
  </si>
  <si>
    <t>Costo complessivo per il 2009</t>
  </si>
  <si>
    <t>D</t>
  </si>
  <si>
    <t>C</t>
  </si>
  <si>
    <t>B</t>
  </si>
  <si>
    <t>A</t>
  </si>
  <si>
    <t>Totale</t>
  </si>
  <si>
    <t>* Ogni dipendente che sia a tempo pieno viene conteggiato come una unità, mentre, per es. un part-time al 50% viene conteggiato come 0,50 unità</t>
  </si>
  <si>
    <t>INCREMENTI FONDO ALL'ANNO 2022 DEL DIFFERENZIALE ECONOMICO DEL CCN. 2022 TABELLA D</t>
  </si>
  <si>
    <t>Trattamento tabellare per 12 mensilità</t>
  </si>
  <si>
    <t>Trattamento economico comprensivo di tredicesima</t>
  </si>
  <si>
    <t>Unità</t>
  </si>
  <si>
    <t>Categorie2</t>
  </si>
  <si>
    <t>Unità2</t>
  </si>
  <si>
    <t>incremento fondo</t>
  </si>
  <si>
    <t>D7</t>
  </si>
  <si>
    <t>D6</t>
  </si>
  <si>
    <t>D5</t>
  </si>
  <si>
    <t>D4</t>
  </si>
  <si>
    <t>D3 econ.</t>
  </si>
  <si>
    <t>D3 di acc.</t>
  </si>
  <si>
    <t>D2</t>
  </si>
  <si>
    <t>D1</t>
  </si>
  <si>
    <t>Tot.</t>
  </si>
  <si>
    <t>C6</t>
  </si>
  <si>
    <t>C5</t>
  </si>
  <si>
    <t>C4</t>
  </si>
  <si>
    <t>C3</t>
  </si>
  <si>
    <t>C2</t>
  </si>
  <si>
    <t>C1</t>
  </si>
  <si>
    <t>B8</t>
  </si>
  <si>
    <t>B7</t>
  </si>
  <si>
    <t>B6</t>
  </si>
  <si>
    <t>B5</t>
  </si>
  <si>
    <t>B4</t>
  </si>
  <si>
    <t>B3 econ.</t>
  </si>
  <si>
    <t>B3 di acc.</t>
  </si>
  <si>
    <t>B2</t>
  </si>
  <si>
    <t>B1</t>
  </si>
  <si>
    <t>A6</t>
  </si>
  <si>
    <t>A5</t>
  </si>
  <si>
    <t>A4</t>
  </si>
  <si>
    <t>A3</t>
  </si>
  <si>
    <t>A2</t>
  </si>
  <si>
    <t>A1</t>
  </si>
  <si>
    <t>TOTALE COSTO PROGRESSIONI ECONOMICHE</t>
  </si>
  <si>
    <t>RIEPILOGO DATI</t>
  </si>
  <si>
    <t>INCREMENTO RISORSE ANNO 2022</t>
  </si>
  <si>
    <t xml:space="preserve">www.carmignaniconsulenza.com </t>
  </si>
  <si>
    <t xml:space="preserve">COSTO DELLE PROGRESSIONI ECONOMICHE </t>
  </si>
  <si>
    <t>COSTO DELL'INDENNITA' DI COMPARTO</t>
  </si>
  <si>
    <t>INCREMENTO DIFFERENZIALI STIPENDIALI ANNO 2023</t>
  </si>
  <si>
    <t>INCREMENTO DIFFERENZIALI B3 E D3 ANNO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</si>
</sst>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_-;\-* #,##0_-;_-* &quot;-&quot;??_-;_-@_-"/>
    <numFmt numFmtId="165" formatCode="_-[$€-410]\ * #,##0.00_-;\-[$€-410]\ * #,##0.00_-;_-[$€-410]\ * &quot;-&quot;??_-;_-@_-"/>
    <numFmt numFmtId="167" formatCode="_-* #,##0.00\ [$€-410]_-;\-* #,##0.00\ [$€-410]_-;_-* &quot;-&quot;??\ [$€-410]_-;_-@_-"/>
  </numFmts>
  <fonts count="21"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b/>
      <sz val="8"/>
      <name val="Arial"/>
      <family val="2"/>
    </font>
    <font>
      <b/>
      <sz val="8"/>
      <color indexed="12"/>
      <name val="Arial"/>
      <family val="2"/>
    </font>
    <font>
      <sz val="8"/>
      <name val="Arial"/>
      <family val="2"/>
    </font>
    <font>
      <sz val="8"/>
      <color indexed="12"/>
      <name val="Arial"/>
      <family val="2"/>
    </font>
    <font>
      <b/>
      <sz val="8"/>
      <color indexed="10"/>
      <name val="Arial"/>
      <family val="2"/>
    </font>
    <font>
      <i/>
      <sz val="8"/>
      <name val="Arial"/>
      <family val="2"/>
    </font>
    <font>
      <b/>
      <sz val="8"/>
      <color theme="1"/>
      <name val="Calibri"/>
      <family val="2"/>
      <scheme val="minor"/>
    </font>
    <font>
      <b/>
      <sz val="8"/>
      <color theme="0"/>
      <name val="Arial"/>
      <family val="2"/>
    </font>
    <font>
      <sz val="8"/>
      <color theme="1"/>
      <name val="Arial"/>
      <family val="2"/>
    </font>
    <font>
      <b/>
      <i/>
      <sz val="8"/>
      <color indexed="10"/>
      <name val="Arial"/>
      <family val="2"/>
    </font>
    <font>
      <b/>
      <sz val="8"/>
      <color theme="1"/>
      <name val="Arial"/>
      <family val="2"/>
    </font>
    <font>
      <b/>
      <sz val="8"/>
      <color indexed="48"/>
      <name val="Arial"/>
      <family val="2"/>
    </font>
    <font>
      <b/>
      <i/>
      <sz val="8"/>
      <name val="Arial"/>
      <family val="2"/>
    </font>
    <font>
      <u/>
      <sz val="11"/>
      <color theme="10"/>
      <name val="Calibri"/>
      <family val="2"/>
      <scheme val="minor"/>
    </font>
    <font>
      <i/>
      <u/>
      <sz val="10"/>
      <color theme="10"/>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rgb="FF0070C0"/>
        <bgColor indexed="64"/>
      </patternFill>
    </fill>
    <fill>
      <patternFill patternType="solid">
        <fgColor rgb="FF7030A0"/>
        <bgColor indexed="64"/>
      </patternFill>
    </fill>
    <fill>
      <patternFill patternType="solid">
        <fgColor rgb="FFFF0000"/>
        <bgColor indexed="64"/>
      </patternFill>
    </fill>
    <fill>
      <patternFill patternType="solid">
        <fgColor indexed="47"/>
        <bgColor indexed="64"/>
      </patternFill>
    </fill>
    <fill>
      <patternFill patternType="lightUp">
        <bgColor indexed="47"/>
      </patternFill>
    </fill>
    <fill>
      <patternFill patternType="lightUp"/>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gray125">
        <bgColor indexed="22"/>
      </patternFill>
    </fill>
    <fill>
      <patternFill patternType="solid">
        <fgColor indexed="51"/>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80">
    <xf numFmtId="0" fontId="0" fillId="0" borderId="0" xfId="0"/>
    <xf numFmtId="0" fontId="3" fillId="0" borderId="0" xfId="0" applyFont="1" applyAlignment="1">
      <alignment vertical="top" wrapText="1"/>
    </xf>
    <xf numFmtId="0" fontId="2" fillId="2" borderId="1" xfId="0" applyFont="1" applyFill="1" applyBorder="1" applyAlignment="1">
      <alignment horizontal="center" vertical="top" wrapText="1"/>
    </xf>
    <xf numFmtId="0" fontId="3" fillId="6" borderId="1" xfId="0" applyFont="1" applyFill="1" applyBorder="1" applyAlignment="1">
      <alignment vertical="top" wrapText="1"/>
    </xf>
    <xf numFmtId="44" fontId="3" fillId="6" borderId="1" xfId="2" applyFont="1" applyFill="1" applyBorder="1" applyAlignment="1">
      <alignment vertical="top" wrapText="1"/>
    </xf>
    <xf numFmtId="164" fontId="3" fillId="0" borderId="1" xfId="1" applyNumberFormat="1" applyFont="1" applyBorder="1" applyAlignment="1" applyProtection="1">
      <alignment vertical="top" wrapText="1"/>
      <protection locked="0"/>
    </xf>
    <xf numFmtId="44" fontId="3" fillId="6" borderId="1" xfId="0" applyNumberFormat="1" applyFont="1" applyFill="1" applyBorder="1" applyAlignment="1">
      <alignment vertical="top" wrapText="1"/>
    </xf>
    <xf numFmtId="44" fontId="4" fillId="6" borderId="1" xfId="0" applyNumberFormat="1" applyFont="1" applyFill="1" applyBorder="1" applyAlignment="1">
      <alignment vertical="top" wrapText="1"/>
    </xf>
    <xf numFmtId="0" fontId="5" fillId="0" borderId="0" xfId="0" applyFont="1" applyAlignment="1">
      <alignment vertical="top" wrapText="1"/>
    </xf>
    <xf numFmtId="0" fontId="3" fillId="0" borderId="0" xfId="0" applyFont="1" applyAlignment="1">
      <alignment horizontal="center" vertical="top" wrapText="1"/>
    </xf>
    <xf numFmtId="0" fontId="2" fillId="0" borderId="8" xfId="0" applyFont="1" applyBorder="1" applyAlignment="1" applyProtection="1">
      <alignment horizontal="center" vertical="top" wrapText="1"/>
      <protection locked="0"/>
    </xf>
    <xf numFmtId="164" fontId="2" fillId="9" borderId="1" xfId="1" applyNumberFormat="1" applyFont="1" applyFill="1" applyBorder="1" applyAlignment="1">
      <alignment horizontal="center" vertical="top" wrapText="1"/>
    </xf>
    <xf numFmtId="0" fontId="2" fillId="9" borderId="1" xfId="0" applyFont="1" applyFill="1" applyBorder="1" applyAlignment="1">
      <alignment horizontal="center" vertical="top" wrapText="1"/>
    </xf>
    <xf numFmtId="44" fontId="2" fillId="9" borderId="3" xfId="0" applyNumberFormat="1" applyFont="1" applyFill="1" applyBorder="1" applyAlignment="1">
      <alignment horizontal="center" wrapText="1"/>
    </xf>
    <xf numFmtId="44" fontId="2" fillId="9" borderId="5" xfId="0" applyNumberFormat="1" applyFont="1" applyFill="1" applyBorder="1" applyAlignment="1">
      <alignment horizontal="center" wrapText="1"/>
    </xf>
    <xf numFmtId="0" fontId="2" fillId="7" borderId="1" xfId="0" applyFont="1" applyFill="1" applyBorder="1" applyAlignment="1">
      <alignment horizontal="center" vertical="top" wrapText="1"/>
    </xf>
    <xf numFmtId="0" fontId="2" fillId="8" borderId="1" xfId="0" applyFont="1" applyFill="1" applyBorder="1" applyAlignment="1">
      <alignment horizontal="center" vertical="center" wrapText="1"/>
    </xf>
    <xf numFmtId="0" fontId="5" fillId="6" borderId="6" xfId="0" applyFont="1" applyFill="1" applyBorder="1" applyAlignment="1">
      <alignment horizontal="center" vertical="top" wrapText="1"/>
    </xf>
    <xf numFmtId="0" fontId="5" fillId="6" borderId="7" xfId="0" applyFont="1" applyFill="1" applyBorder="1" applyAlignment="1">
      <alignment horizontal="center" vertical="top" wrapText="1"/>
    </xf>
    <xf numFmtId="164" fontId="2" fillId="9" borderId="6" xfId="1" applyNumberFormat="1" applyFont="1" applyFill="1" applyBorder="1" applyAlignment="1">
      <alignment horizontal="center" vertical="top" wrapText="1"/>
    </xf>
    <xf numFmtId="164" fontId="2" fillId="9" borderId="9" xfId="1" applyNumberFormat="1" applyFont="1" applyFill="1" applyBorder="1" applyAlignment="1">
      <alignment horizontal="center" vertical="top" wrapText="1"/>
    </xf>
    <xf numFmtId="164" fontId="2" fillId="9" borderId="7" xfId="1" applyNumberFormat="1" applyFont="1" applyFill="1" applyBorder="1" applyAlignment="1">
      <alignment horizontal="center"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43" fontId="6" fillId="0" borderId="0" xfId="1" applyFont="1" applyAlignment="1" applyProtection="1">
      <alignment horizontal="center"/>
    </xf>
    <xf numFmtId="43" fontId="6" fillId="10" borderId="0" xfId="1" applyFont="1" applyFill="1" applyBorder="1" applyAlignment="1" applyProtection="1">
      <alignment horizontal="center" wrapText="1"/>
    </xf>
    <xf numFmtId="165" fontId="6" fillId="11" borderId="0" xfId="1" applyNumberFormat="1" applyFont="1" applyFill="1" applyBorder="1" applyAlignment="1" applyProtection="1">
      <alignment horizontal="center" wrapText="1"/>
    </xf>
    <xf numFmtId="165" fontId="6" fillId="10" borderId="0" xfId="1" applyNumberFormat="1" applyFont="1" applyFill="1" applyBorder="1" applyAlignment="1" applyProtection="1">
      <alignment horizontal="center" wrapText="1"/>
    </xf>
    <xf numFmtId="43" fontId="7" fillId="10" borderId="0" xfId="1" applyFont="1" applyFill="1" applyBorder="1" applyAlignment="1" applyProtection="1">
      <alignment horizontal="center" wrapText="1"/>
    </xf>
    <xf numFmtId="165" fontId="8" fillId="12" borderId="0" xfId="1" applyNumberFormat="1" applyFont="1" applyFill="1" applyBorder="1" applyAlignment="1" applyProtection="1">
      <alignment horizontal="center" wrapText="1"/>
    </xf>
    <xf numFmtId="165" fontId="8" fillId="0" borderId="0" xfId="1" applyNumberFormat="1" applyFont="1" applyBorder="1" applyAlignment="1" applyProtection="1">
      <alignment horizontal="center" wrapText="1"/>
    </xf>
    <xf numFmtId="43" fontId="9" fillId="0" borderId="0" xfId="1" applyFont="1" applyBorder="1" applyAlignment="1" applyProtection="1">
      <alignment horizontal="center" wrapText="1"/>
    </xf>
    <xf numFmtId="165" fontId="6" fillId="13" borderId="0" xfId="1" applyNumberFormat="1" applyFont="1" applyFill="1" applyBorder="1" applyAlignment="1" applyProtection="1">
      <alignment horizontal="center" wrapText="1"/>
    </xf>
    <xf numFmtId="165" fontId="6" fillId="14" borderId="0" xfId="1" applyNumberFormat="1" applyFont="1" applyFill="1" applyBorder="1" applyAlignment="1" applyProtection="1">
      <alignment horizontal="center" wrapText="1"/>
    </xf>
    <xf numFmtId="165" fontId="6" fillId="15" borderId="0" xfId="1" applyNumberFormat="1" applyFont="1" applyFill="1" applyBorder="1" applyAlignment="1" applyProtection="1">
      <alignment horizontal="center"/>
    </xf>
    <xf numFmtId="43" fontId="10" fillId="10" borderId="0" xfId="1" applyFont="1" applyFill="1" applyBorder="1" applyAlignment="1" applyProtection="1">
      <alignment horizontal="center" wrapText="1"/>
    </xf>
    <xf numFmtId="165" fontId="10" fillId="16" borderId="0" xfId="1" applyNumberFormat="1" applyFont="1" applyFill="1" applyBorder="1" applyAlignment="1" applyProtection="1">
      <alignment horizontal="center" wrapText="1"/>
    </xf>
    <xf numFmtId="43" fontId="10" fillId="0" borderId="1" xfId="1" applyFont="1" applyBorder="1" applyAlignment="1" applyProtection="1">
      <alignment horizontal="center" wrapText="1"/>
    </xf>
    <xf numFmtId="165" fontId="10" fillId="13" borderId="1" xfId="1" applyNumberFormat="1" applyFont="1" applyFill="1" applyBorder="1" applyAlignment="1" applyProtection="1">
      <alignment horizontal="center" wrapText="1"/>
    </xf>
    <xf numFmtId="165" fontId="10" fillId="14" borderId="1" xfId="1" applyNumberFormat="1" applyFont="1" applyFill="1" applyBorder="1" applyAlignment="1" applyProtection="1">
      <alignment horizontal="center" wrapText="1"/>
    </xf>
    <xf numFmtId="165" fontId="10" fillId="15" borderId="1" xfId="1" applyNumberFormat="1" applyFont="1" applyFill="1" applyBorder="1" applyAlignment="1" applyProtection="1">
      <alignment horizontal="center" wrapText="1"/>
    </xf>
    <xf numFmtId="43" fontId="11" fillId="0" borderId="0" xfId="1" applyFont="1" applyAlignment="1" applyProtection="1">
      <alignment wrapText="1"/>
    </xf>
    <xf numFmtId="43" fontId="11" fillId="0" borderId="0" xfId="1" applyFont="1" applyAlignment="1" applyProtection="1"/>
    <xf numFmtId="164" fontId="5" fillId="6" borderId="6" xfId="1" applyNumberFormat="1" applyFont="1" applyFill="1" applyBorder="1" applyAlignment="1">
      <alignment vertical="top" wrapText="1"/>
    </xf>
    <xf numFmtId="164" fontId="5" fillId="6" borderId="7" xfId="1" applyNumberFormat="1" applyFont="1" applyFill="1" applyBorder="1" applyAlignment="1">
      <alignment vertical="top" wrapText="1"/>
    </xf>
    <xf numFmtId="43" fontId="9" fillId="0" borderId="0" xfId="1" quotePrefix="1" applyFont="1" applyBorder="1" applyAlignment="1" applyProtection="1">
      <alignment horizontal="center" wrapText="1"/>
    </xf>
    <xf numFmtId="0" fontId="12" fillId="0" borderId="1" xfId="0" applyFont="1" applyBorder="1" applyAlignment="1">
      <alignment horizontal="center"/>
    </xf>
    <xf numFmtId="165" fontId="13" fillId="17" borderId="1" xfId="1" applyNumberFormat="1" applyFont="1" applyFill="1" applyBorder="1" applyAlignment="1">
      <alignment horizontal="left" vertical="top" wrapText="1"/>
    </xf>
    <xf numFmtId="43" fontId="6" fillId="17" borderId="5" xfId="1" applyFont="1" applyFill="1" applyBorder="1" applyAlignment="1" applyProtection="1">
      <alignment horizontal="left" vertical="top" wrapText="1"/>
    </xf>
    <xf numFmtId="43" fontId="6" fillId="17" borderId="5" xfId="1" applyFont="1" applyFill="1" applyBorder="1" applyAlignment="1" applyProtection="1">
      <alignment horizontal="left" vertical="top"/>
    </xf>
    <xf numFmtId="43" fontId="6" fillId="18" borderId="1" xfId="1" applyFont="1" applyFill="1" applyBorder="1" applyAlignment="1" applyProtection="1">
      <alignment horizontal="center" wrapText="1"/>
    </xf>
    <xf numFmtId="167" fontId="3" fillId="6" borderId="1" xfId="2" applyNumberFormat="1" applyFont="1" applyFill="1" applyBorder="1" applyAlignment="1">
      <alignment vertical="top" wrapText="1"/>
    </xf>
    <xf numFmtId="43" fontId="6" fillId="0" borderId="1" xfId="1" applyFont="1" applyBorder="1" applyAlignment="1" applyProtection="1">
      <alignment horizontal="left" vertical="top" wrapText="1"/>
    </xf>
    <xf numFmtId="43" fontId="8" fillId="0" borderId="1" xfId="1" applyFont="1" applyFill="1" applyBorder="1" applyAlignment="1" applyProtection="1">
      <alignment horizontal="left" vertical="top"/>
      <protection locked="0"/>
    </xf>
    <xf numFmtId="165" fontId="6" fillId="0" borderId="1" xfId="0" applyNumberFormat="1" applyFont="1" applyBorder="1" applyAlignment="1">
      <alignment horizontal="center"/>
    </xf>
    <xf numFmtId="43" fontId="6" fillId="0" borderId="1" xfId="1" applyFont="1" applyBorder="1" applyAlignment="1" applyProtection="1">
      <alignment horizontal="left" vertical="top"/>
    </xf>
    <xf numFmtId="43" fontId="8" fillId="1" borderId="1" xfId="1" applyFont="1" applyFill="1" applyBorder="1" applyAlignment="1" applyProtection="1">
      <alignment horizontal="left" vertical="top" wrapText="1"/>
    </xf>
    <xf numFmtId="165" fontId="14" fillId="1" borderId="1" xfId="1" applyNumberFormat="1" applyFont="1" applyFill="1" applyBorder="1" applyAlignment="1">
      <alignment horizontal="left" vertical="top" wrapText="1"/>
    </xf>
    <xf numFmtId="43" fontId="15" fillId="0" borderId="1" xfId="1" applyFont="1" applyBorder="1" applyAlignment="1" applyProtection="1">
      <alignment horizontal="left" vertical="top"/>
    </xf>
    <xf numFmtId="167" fontId="15" fillId="0" borderId="1" xfId="2" applyNumberFormat="1" applyFont="1" applyBorder="1" applyAlignment="1" applyProtection="1">
      <alignment horizontal="left" vertical="top"/>
    </xf>
    <xf numFmtId="43" fontId="11" fillId="1" borderId="1" xfId="1" applyFont="1" applyFill="1" applyBorder="1" applyAlignment="1" applyProtection="1">
      <alignment horizontal="left" vertical="top" wrapText="1"/>
    </xf>
    <xf numFmtId="167" fontId="15" fillId="0" borderId="1" xfId="1" applyNumberFormat="1" applyFont="1" applyBorder="1" applyAlignment="1" applyProtection="1">
      <alignment horizontal="left" vertical="top"/>
    </xf>
    <xf numFmtId="165" fontId="16" fillId="17" borderId="6" xfId="1" applyNumberFormat="1" applyFont="1" applyFill="1" applyBorder="1" applyAlignment="1">
      <alignment horizontal="left" vertical="top"/>
    </xf>
    <xf numFmtId="165" fontId="16" fillId="17" borderId="9" xfId="1" applyNumberFormat="1" applyFont="1" applyFill="1" applyBorder="1" applyAlignment="1">
      <alignment horizontal="left" vertical="top"/>
    </xf>
    <xf numFmtId="43" fontId="7" fillId="17" borderId="1" xfId="1" applyFont="1" applyFill="1" applyBorder="1" applyAlignment="1" applyProtection="1">
      <alignment horizontal="left" vertical="top"/>
    </xf>
    <xf numFmtId="43" fontId="17" fillId="0" borderId="1" xfId="1" applyFont="1" applyBorder="1" applyAlignment="1" applyProtection="1">
      <alignment horizontal="left" vertical="top"/>
    </xf>
    <xf numFmtId="165" fontId="6" fillId="18" borderId="1" xfId="0" applyNumberFormat="1" applyFont="1" applyFill="1" applyBorder="1" applyAlignment="1">
      <alignment horizontal="center"/>
    </xf>
    <xf numFmtId="43" fontId="11" fillId="0" borderId="0" xfId="1" applyFont="1" applyAlignment="1" applyProtection="1">
      <alignment horizontal="left" vertical="top"/>
    </xf>
    <xf numFmtId="43" fontId="8" fillId="0" borderId="0" xfId="1" applyFont="1" applyAlignment="1">
      <alignment horizontal="left" vertical="top"/>
    </xf>
    <xf numFmtId="165" fontId="6" fillId="4" borderId="1" xfId="1" applyNumberFormat="1" applyFont="1" applyFill="1" applyBorder="1" applyAlignment="1" applyProtection="1">
      <alignment horizontal="left" vertical="top" wrapText="1"/>
    </xf>
    <xf numFmtId="165" fontId="18" fillId="4" borderId="1" xfId="1" applyNumberFormat="1" applyFont="1" applyFill="1" applyBorder="1" applyAlignment="1" applyProtection="1">
      <alignment vertical="top" wrapText="1"/>
    </xf>
    <xf numFmtId="43" fontId="18" fillId="4" borderId="1" xfId="1" applyFont="1" applyFill="1" applyBorder="1" applyAlignment="1" applyProtection="1">
      <alignment vertical="top" wrapText="1"/>
      <protection locked="0"/>
    </xf>
    <xf numFmtId="165" fontId="20" fillId="0" borderId="0" xfId="3" applyNumberFormat="1" applyFont="1" applyAlignment="1">
      <alignment horizontal="left" vertical="top"/>
    </xf>
    <xf numFmtId="165" fontId="6" fillId="3" borderId="1" xfId="1" applyNumberFormat="1" applyFont="1" applyFill="1" applyBorder="1" applyAlignment="1">
      <alignment horizontal="center" vertical="top"/>
    </xf>
    <xf numFmtId="165" fontId="6" fillId="0" borderId="0" xfId="1" applyNumberFormat="1" applyFont="1" applyBorder="1" applyAlignment="1">
      <alignment horizontal="center" vertical="top"/>
    </xf>
  </cellXfs>
  <cellStyles count="4">
    <cellStyle name="Collegamento ipertestuale" xfId="3" builtinId="8"/>
    <cellStyle name="Migliaia" xfId="1" builtinId="3"/>
    <cellStyle name="Normale" xfId="0" builtinId="0"/>
    <cellStyle name="Valuta" xfId="2" builtinId="4"/>
  </cellStyles>
  <dxfs count="11">
    <dxf>
      <font>
        <b/>
        <i val="0"/>
        <strike val="0"/>
        <condense val="0"/>
        <extend val="0"/>
        <outline val="0"/>
        <shadow val="0"/>
        <u val="none"/>
        <vertAlign val="baseline"/>
        <sz val="8"/>
        <color auto="1"/>
        <name val="Arial"/>
        <scheme val="none"/>
      </font>
      <numFmt numFmtId="165" formatCode="_-[$€-410]\ * #,##0.00_-;\-[$€-410]\ * #,##0.00_-;_-[$€-410]\ * &quot;-&quot;??_-;_-@_-"/>
      <fill>
        <patternFill patternType="solid">
          <fgColor indexed="64"/>
          <bgColor indexed="41"/>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8"/>
        <color auto="1"/>
        <name val="Arial"/>
        <scheme val="none"/>
      </font>
      <numFmt numFmtId="165" formatCode="_-[$€-410]\ * #,##0.00_-;\-[$€-410]\ * #,##0.00_-;_-[$€-410]\ * &quot;-&quot;??_-;_-@_-"/>
      <fill>
        <patternFill patternType="solid">
          <fgColor indexed="64"/>
          <bgColor indexed="45"/>
        </patternFill>
      </fill>
      <alignment horizontal="center" vertical="bottom" textRotation="0" wrapText="1" relativeIndent="0" justifyLastLine="0" shrinkToFit="0" readingOrder="0"/>
      <protection locked="1" hidden="0"/>
    </dxf>
    <dxf>
      <font>
        <b/>
        <i val="0"/>
        <strike val="0"/>
        <condense val="0"/>
        <extend val="0"/>
        <outline val="0"/>
        <shadow val="0"/>
        <u val="none"/>
        <vertAlign val="baseline"/>
        <sz val="8"/>
        <color auto="1"/>
        <name val="Arial"/>
        <scheme val="none"/>
      </font>
      <numFmt numFmtId="165" formatCode="_-[$€-410]\ * #,##0.00_-;\-[$€-410]\ * #,##0.00_-;_-[$€-410]\ * &quot;-&quot;??_-;_-@_-"/>
      <fill>
        <patternFill patternType="solid">
          <fgColor indexed="64"/>
          <bgColor indexed="42"/>
        </patternFill>
      </fill>
      <alignment horizontal="center" vertical="bottom" textRotation="0" wrapText="1" relativeIndent="0" justifyLastLine="0" shrinkToFit="0" readingOrder="0"/>
      <protection locked="1" hidden="0"/>
    </dxf>
    <dxf>
      <font>
        <b val="0"/>
        <i val="0"/>
        <strike val="0"/>
        <condense val="0"/>
        <extend val="0"/>
        <outline val="0"/>
        <shadow val="0"/>
        <u val="none"/>
        <vertAlign val="baseline"/>
        <sz val="8"/>
        <color indexed="12"/>
        <name val="Arial"/>
        <scheme val="none"/>
      </font>
      <alignment horizontal="center" vertical="bottom" textRotation="0" wrapText="1" relativeIndent="0" justifyLastLine="0" shrinkToFit="0" readingOrder="0"/>
      <protection locked="1" hidden="0"/>
    </dxf>
    <dxf>
      <font>
        <b val="0"/>
        <i val="0"/>
        <strike val="0"/>
        <condense val="0"/>
        <extend val="0"/>
        <outline val="0"/>
        <shadow val="0"/>
        <u val="none"/>
        <vertAlign val="baseline"/>
        <sz val="8"/>
        <color auto="1"/>
        <name val="Arial"/>
        <scheme val="none"/>
      </font>
      <numFmt numFmtId="165" formatCode="_-[$€-410]\ * #,##0.00_-;\-[$€-410]\ * #,##0.00_-;_-[$€-410]\ * &quot;-&quot;??_-;_-@_-"/>
      <alignment horizontal="center" vertical="bottom" textRotation="0" wrapText="1" relativeIndent="0" justifyLastLine="0" shrinkToFit="0" readingOrder="0"/>
      <protection locked="1" hidden="0"/>
    </dxf>
    <dxf>
      <font>
        <b val="0"/>
        <i val="0"/>
        <strike val="0"/>
        <condense val="0"/>
        <extend val="0"/>
        <outline val="0"/>
        <shadow val="0"/>
        <u val="none"/>
        <vertAlign val="baseline"/>
        <sz val="8"/>
        <color auto="1"/>
        <name val="Arial"/>
        <scheme val="none"/>
      </font>
      <numFmt numFmtId="165" formatCode="_-[$€-410]\ * #,##0.00_-;\-[$€-410]\ * #,##0.00_-;_-[$€-410]\ * &quot;-&quot;??_-;_-@_-"/>
      <fill>
        <patternFill patternType="lightUp">
          <fgColor indexed="64"/>
          <bgColor indexed="65"/>
        </patternFill>
      </fill>
      <alignment horizontal="center" vertical="bottom" textRotation="0" wrapText="1" relativeIndent="0" justifyLastLine="0" shrinkToFit="0" readingOrder="0"/>
      <protection locked="1" hidden="0"/>
    </dxf>
    <dxf>
      <font>
        <b val="0"/>
        <i val="0"/>
        <strike val="0"/>
        <condense val="0"/>
        <extend val="0"/>
        <outline val="0"/>
        <shadow val="0"/>
        <u val="none"/>
        <vertAlign val="baseline"/>
        <sz val="8"/>
        <color auto="1"/>
        <name val="Arial"/>
        <scheme val="none"/>
      </font>
      <numFmt numFmtId="165" formatCode="_-[$€-410]\ * #,##0.00_-;\-[$€-410]\ * #,##0.00_-;_-[$€-410]\ * &quot;-&quot;??_-;_-@_-"/>
      <fill>
        <patternFill patternType="lightUp">
          <fgColor indexed="64"/>
          <bgColor indexed="65"/>
        </patternFill>
      </fill>
      <alignment horizontal="center" vertical="bottom" textRotation="0" wrapText="1" relativeIndent="0" justifyLastLine="0" shrinkToFit="0" readingOrder="0"/>
      <protection locked="1" hidden="0"/>
    </dxf>
    <dxf>
      <font>
        <b val="0"/>
        <i val="0"/>
        <strike val="0"/>
        <condense val="0"/>
        <extend val="0"/>
        <outline val="0"/>
        <shadow val="0"/>
        <u val="none"/>
        <vertAlign val="baseline"/>
        <sz val="8"/>
        <color auto="1"/>
        <name val="Arial"/>
        <scheme val="none"/>
      </font>
      <numFmt numFmtId="165" formatCode="_-[$€-410]\ * #,##0.00_-;\-[$€-410]\ * #,##0.00_-;_-[$€-410]\ * &quot;-&quot;??_-;_-@_-"/>
      <fill>
        <patternFill patternType="lightUp">
          <fgColor indexed="64"/>
          <bgColor indexed="65"/>
        </patternFill>
      </fill>
      <alignment horizontal="center" vertical="bottom" textRotation="0" wrapText="1" relativeIndent="0" justifyLastLine="0" shrinkToFit="0" readingOrder="0"/>
      <protection locked="1" hidden="0"/>
    </dxf>
    <dxf>
      <font>
        <b/>
        <i val="0"/>
        <strike val="0"/>
        <condense val="0"/>
        <extend val="0"/>
        <outline val="0"/>
        <shadow val="0"/>
        <u val="none"/>
        <vertAlign val="baseline"/>
        <sz val="8"/>
        <color auto="1"/>
        <name val="Arial"/>
        <scheme val="none"/>
      </font>
      <fill>
        <patternFill patternType="solid">
          <fgColor indexed="64"/>
          <bgColor indexed="47"/>
        </patternFill>
      </fill>
      <alignment horizontal="center" vertical="bottom" textRotation="0" wrapText="1" relativeIndent="0" justifyLastLine="0" shrinkToFit="0" readingOrder="0"/>
      <protection locked="1" hidden="0"/>
    </dxf>
    <dxf>
      <font>
        <strike val="0"/>
        <outline val="0"/>
        <shadow val="0"/>
        <u val="none"/>
        <vertAlign val="baseline"/>
        <sz val="8"/>
      </font>
      <fill>
        <patternFill>
          <fgColor indexed="64"/>
        </patternFill>
      </fill>
      <alignment textRotation="0" relativeIndent="0" justifyLastLine="0" shrinkToFit="0" readingOrder="0"/>
      <protection locked="1" hidden="0"/>
    </dxf>
    <dxf>
      <font>
        <b/>
        <i val="0"/>
        <strike val="0"/>
        <condense val="0"/>
        <extend val="0"/>
        <outline val="0"/>
        <shadow val="0"/>
        <u val="none"/>
        <vertAlign val="baseline"/>
        <sz val="8"/>
        <color auto="1"/>
        <name val="Arial"/>
        <scheme val="none"/>
      </font>
      <numFmt numFmtId="165" formatCode="_-[$€-410]\ * #,##0.00_-;\-[$€-410]\ * #,##0.00_-;_-[$€-410]\ * &quot;-&quot;??_-;_-@_-"/>
      <fill>
        <patternFill patternType="solid">
          <fgColor indexed="64"/>
          <bgColor indexed="47"/>
        </patternFill>
      </fill>
      <alignment horizontal="center" vertical="bottom" textRotation="0" wrapText="1" relative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023310-C57B-4485-89DF-DA768F059C32}" name="Tabella6" displayName="Tabella6" ref="A2:I7" totalsRowShown="0" headerRowDxfId="10" dataDxfId="9" headerRowCellStyle="Migliaia">
  <autoFilter ref="A2:I7" xr:uid="{18023310-C57B-4485-89DF-DA768F059C32}"/>
  <tableColumns count="9">
    <tableColumn id="1" xr3:uid="{D55A59BB-C306-46FF-9115-5F858B2AFFBC}" name="Categorie" dataDxfId="8" dataCellStyle="Migliaia"/>
    <tableColumn id="2" xr3:uid="{4612FE4F-A7B8-4B86-A350-512AF0D8FD4A}" name="Indennità di comparto dal 1/1/02" dataDxfId="7" dataCellStyle="Migliaia"/>
    <tableColumn id="3" xr3:uid="{20C5B465-9E28-46D3-BE2A-314982A1E566}" name="Indennità di comparto dal 1/1/03" dataDxfId="6" dataCellStyle="Migliaia"/>
    <tableColumn id="4" xr3:uid="{67E0881E-0035-4C8C-89C3-FC9651D34DF4}" name="Indennità di comparto dal 31/12/03" dataDxfId="5" dataCellStyle="Migliaia"/>
    <tableColumn id="5" xr3:uid="{17EDB98F-A568-40ED-8F64-B65BF9ADE26F}" name="Complessiva dal 31/12/03" dataDxfId="4" dataCellStyle="Migliaia"/>
    <tableColumn id="6" xr3:uid="{CD729F75-E3D5-4E9B-8BB1-47FE36A1A7DD}" name="N° dipendenti *" dataDxfId="3" dataCellStyle="Migliaia"/>
    <tableColumn id="7" xr3:uid="{9228ACE9-950F-4816-838B-8F4C6DFAB32B}" name="Quota da imputarsi al bilancio 2009" dataDxfId="2" dataCellStyle="Migliaia"/>
    <tableColumn id="8" xr3:uid="{6B5CA289-74A6-4418-9CF8-3A944E6FF346}" name="Quota da imputarsi al fondo 2009" dataDxfId="1" dataCellStyle="Migliaia"/>
    <tableColumn id="9" xr3:uid="{57F8C2F9-73FE-48BF-80AD-AC5E2D32EF71}" name="Costo complessivo per il 2009" dataDxfId="0" dataCellStyle="Migliaia"/>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rmignaniconsulenza.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zoomScale="115" zoomScaleNormal="115" workbookViewId="0">
      <selection activeCell="F46" sqref="F46:G46"/>
    </sheetView>
  </sheetViews>
  <sheetFormatPr defaultRowHeight="12" x14ac:dyDescent="0.3"/>
  <cols>
    <col min="1" max="1" width="25.44140625" style="1" customWidth="1"/>
    <col min="2" max="2" width="9.33203125" style="1" bestFit="1" customWidth="1"/>
    <col min="3" max="3" width="12.109375" style="1" customWidth="1"/>
    <col min="4" max="4" width="10.33203125" style="1" bestFit="1" customWidth="1"/>
    <col min="5" max="5" width="11.33203125" style="1" customWidth="1"/>
    <col min="6" max="6" width="10.33203125" style="1" bestFit="1" customWidth="1"/>
    <col min="7" max="7" width="12.44140625" style="1" customWidth="1"/>
    <col min="8" max="8" width="10.33203125" style="1" bestFit="1" customWidth="1"/>
    <col min="9" max="9" width="12.77734375" style="1" customWidth="1"/>
    <col min="10" max="10" width="10.21875" style="1" customWidth="1"/>
    <col min="11" max="11" width="12.33203125" style="1" bestFit="1" customWidth="1"/>
    <col min="12" max="16384" width="8.88671875" style="1"/>
  </cols>
  <sheetData>
    <row r="1" spans="1:11" x14ac:dyDescent="0.3">
      <c r="A1" s="10" t="s">
        <v>10</v>
      </c>
      <c r="B1" s="10"/>
      <c r="C1" s="10"/>
      <c r="D1" s="10"/>
      <c r="E1" s="10"/>
      <c r="F1" s="10"/>
      <c r="G1" s="10"/>
      <c r="H1" s="10"/>
      <c r="I1" s="10"/>
      <c r="J1" s="10"/>
      <c r="K1" s="10"/>
    </row>
    <row r="2" spans="1:11" x14ac:dyDescent="0.3">
      <c r="A2" s="15" t="s">
        <v>4</v>
      </c>
      <c r="B2" s="15"/>
      <c r="C2" s="15"/>
      <c r="D2" s="15"/>
      <c r="E2" s="15"/>
      <c r="F2" s="15"/>
      <c r="G2" s="15"/>
      <c r="H2" s="15"/>
      <c r="I2" s="15"/>
      <c r="J2" s="15"/>
      <c r="K2" s="15"/>
    </row>
    <row r="3" spans="1:11" ht="23.4" customHeight="1" x14ac:dyDescent="0.3">
      <c r="A3" s="2" t="s">
        <v>5</v>
      </c>
      <c r="B3" s="2" t="s">
        <v>2</v>
      </c>
      <c r="C3" s="2" t="s">
        <v>7</v>
      </c>
      <c r="D3" s="2" t="s">
        <v>3</v>
      </c>
      <c r="E3" s="2" t="s">
        <v>8</v>
      </c>
      <c r="F3" s="2" t="s">
        <v>3</v>
      </c>
      <c r="G3" s="2" t="s">
        <v>12</v>
      </c>
      <c r="H3" s="2" t="s">
        <v>3</v>
      </c>
      <c r="I3" s="2" t="s">
        <v>11</v>
      </c>
      <c r="J3" s="2" t="s">
        <v>3</v>
      </c>
      <c r="K3" s="2" t="s">
        <v>6</v>
      </c>
    </row>
    <row r="4" spans="1:11" x14ac:dyDescent="0.3">
      <c r="A4" s="16" t="s">
        <v>16</v>
      </c>
      <c r="B4" s="3">
        <v>7</v>
      </c>
      <c r="C4" s="4">
        <f>32390.2/12*13</f>
        <v>35089.383333333331</v>
      </c>
      <c r="D4" s="5">
        <v>0</v>
      </c>
      <c r="E4" s="4">
        <f>E5+1600</f>
        <v>34746.712499999994</v>
      </c>
      <c r="F4" s="5">
        <v>0</v>
      </c>
      <c r="G4" s="4">
        <v>0</v>
      </c>
      <c r="H4" s="5">
        <v>0</v>
      </c>
      <c r="I4" s="4">
        <f t="shared" ref="I4:I8" si="0">I5+1600+200</f>
        <v>35946.712499999994</v>
      </c>
      <c r="J4" s="5">
        <v>0</v>
      </c>
      <c r="K4" s="6">
        <f>C4*D4+E4*F4+G4*H4+I4*J4</f>
        <v>0</v>
      </c>
    </row>
    <row r="5" spans="1:11" x14ac:dyDescent="0.3">
      <c r="A5" s="16"/>
      <c r="B5" s="3">
        <v>6</v>
      </c>
      <c r="C5" s="4">
        <f>30830.2/12*13</f>
        <v>33399.383333333331</v>
      </c>
      <c r="D5" s="5">
        <v>0</v>
      </c>
      <c r="E5" s="4">
        <f t="shared" ref="E5:E8" si="1">E6+1600</f>
        <v>33146.712499999994</v>
      </c>
      <c r="F5" s="5">
        <v>0</v>
      </c>
      <c r="G5" s="4">
        <v>0</v>
      </c>
      <c r="H5" s="5">
        <v>0</v>
      </c>
      <c r="I5" s="4">
        <f t="shared" si="0"/>
        <v>34146.712499999994</v>
      </c>
      <c r="J5" s="5">
        <v>0</v>
      </c>
      <c r="K5" s="6">
        <f t="shared" ref="K5:K10" si="2">C5*D5+E5*F5+G5*H5+I5*J5</f>
        <v>0</v>
      </c>
    </row>
    <row r="6" spans="1:11" x14ac:dyDescent="0.3">
      <c r="A6" s="16"/>
      <c r="B6" s="3">
        <v>5</v>
      </c>
      <c r="C6" s="4">
        <f>28839.46/12*13</f>
        <v>31242.748333333333</v>
      </c>
      <c r="D6" s="5">
        <v>0</v>
      </c>
      <c r="E6" s="4">
        <f t="shared" si="1"/>
        <v>31546.712499999998</v>
      </c>
      <c r="F6" s="5">
        <v>0</v>
      </c>
      <c r="G6" s="4">
        <v>0</v>
      </c>
      <c r="H6" s="5">
        <v>0</v>
      </c>
      <c r="I6" s="4">
        <f t="shared" si="0"/>
        <v>32346.712499999998</v>
      </c>
      <c r="J6" s="5">
        <v>0</v>
      </c>
      <c r="K6" s="6">
        <f t="shared" si="2"/>
        <v>0</v>
      </c>
    </row>
    <row r="7" spans="1:11" x14ac:dyDescent="0.3">
      <c r="A7" s="16"/>
      <c r="B7" s="3">
        <v>4</v>
      </c>
      <c r="C7" s="4">
        <f>27650.08/12*13</f>
        <v>29954.253333333338</v>
      </c>
      <c r="D7" s="5">
        <v>0</v>
      </c>
      <c r="E7" s="4">
        <f t="shared" si="1"/>
        <v>29946.712499999998</v>
      </c>
      <c r="F7" s="5">
        <v>0</v>
      </c>
      <c r="G7" s="4">
        <v>0</v>
      </c>
      <c r="H7" s="5">
        <v>0</v>
      </c>
      <c r="I7" s="4">
        <f t="shared" si="0"/>
        <v>30546.712499999998</v>
      </c>
      <c r="J7" s="5">
        <v>0</v>
      </c>
      <c r="K7" s="6">
        <f t="shared" si="2"/>
        <v>0</v>
      </c>
    </row>
    <row r="8" spans="1:11" x14ac:dyDescent="0.3">
      <c r="A8" s="16"/>
      <c r="B8" s="3">
        <v>3</v>
      </c>
      <c r="C8" s="4">
        <f>26553.7/12*13</f>
        <v>28766.508333333335</v>
      </c>
      <c r="D8" s="5">
        <v>0</v>
      </c>
      <c r="E8" s="4">
        <f t="shared" si="1"/>
        <v>28346.712499999998</v>
      </c>
      <c r="F8" s="5">
        <v>0</v>
      </c>
      <c r="G8" s="4">
        <v>0</v>
      </c>
      <c r="H8" s="5">
        <v>0</v>
      </c>
      <c r="I8" s="4">
        <f t="shared" si="0"/>
        <v>28746.712499999998</v>
      </c>
      <c r="J8" s="5">
        <v>0</v>
      </c>
      <c r="K8" s="6">
        <f t="shared" si="2"/>
        <v>0</v>
      </c>
    </row>
    <row r="9" spans="1:11" x14ac:dyDescent="0.3">
      <c r="A9" s="16"/>
      <c r="B9" s="3">
        <v>2</v>
      </c>
      <c r="C9" s="4">
        <f>24307.97/12*13</f>
        <v>26333.634166666667</v>
      </c>
      <c r="D9" s="5">
        <v>0</v>
      </c>
      <c r="E9" s="4">
        <f>E10+1600</f>
        <v>26746.712499999998</v>
      </c>
      <c r="F9" s="5">
        <v>0</v>
      </c>
      <c r="G9" s="4">
        <v>0</v>
      </c>
      <c r="H9" s="5">
        <v>0</v>
      </c>
      <c r="I9" s="4">
        <f>I10+1600+200</f>
        <v>26946.712499999998</v>
      </c>
      <c r="J9" s="5">
        <v>0</v>
      </c>
      <c r="K9" s="6">
        <f t="shared" si="2"/>
        <v>0</v>
      </c>
    </row>
    <row r="10" spans="1:11" x14ac:dyDescent="0.3">
      <c r="A10" s="16"/>
      <c r="B10" s="3">
        <v>1</v>
      </c>
      <c r="C10" s="4">
        <f>23212.35/12*13</f>
        <v>25146.712499999998</v>
      </c>
      <c r="D10" s="5">
        <v>0</v>
      </c>
      <c r="E10" s="4">
        <f>(23212.35/12)*13</f>
        <v>25146.712499999998</v>
      </c>
      <c r="F10" s="5">
        <v>0</v>
      </c>
      <c r="G10" s="4">
        <v>0</v>
      </c>
      <c r="H10" s="5">
        <v>0</v>
      </c>
      <c r="I10" s="4">
        <f>(23212.35/12)*13</f>
        <v>25146.712499999998</v>
      </c>
      <c r="J10" s="5">
        <v>0</v>
      </c>
      <c r="K10" s="6">
        <f t="shared" si="2"/>
        <v>0</v>
      </c>
    </row>
    <row r="11" spans="1:11" x14ac:dyDescent="0.3">
      <c r="A11" s="17" t="s">
        <v>1</v>
      </c>
      <c r="B11" s="18"/>
      <c r="C11" s="48"/>
      <c r="D11" s="49">
        <f>SUM(D4:D10)</f>
        <v>0</v>
      </c>
      <c r="E11" s="48"/>
      <c r="F11" s="49">
        <f>SUM(F4:F10)</f>
        <v>0</v>
      </c>
      <c r="G11" s="48"/>
      <c r="H11" s="49">
        <f>SUM(H4:H10)</f>
        <v>0</v>
      </c>
      <c r="I11" s="48"/>
      <c r="J11" s="49">
        <f>SUM(J4:J10)</f>
        <v>0</v>
      </c>
      <c r="K11" s="7">
        <f>SUM(K4:K10)</f>
        <v>0</v>
      </c>
    </row>
    <row r="12" spans="1:11" x14ac:dyDescent="0.3">
      <c r="A12" s="24" t="s">
        <v>15</v>
      </c>
      <c r="B12" s="3">
        <v>6</v>
      </c>
      <c r="C12" s="4">
        <f>24655/12*13</f>
        <v>26709.583333333336</v>
      </c>
      <c r="D12" s="5">
        <v>0</v>
      </c>
      <c r="E12" s="4">
        <f>E13+750</f>
        <v>26925.609166666665</v>
      </c>
      <c r="F12" s="5">
        <v>0</v>
      </c>
      <c r="G12" s="4">
        <f>G13+750+350</f>
        <v>28675.609166666665</v>
      </c>
      <c r="H12" s="5">
        <v>0</v>
      </c>
      <c r="I12" s="4">
        <f>I13+750+150</f>
        <v>27675.609166666665</v>
      </c>
      <c r="J12" s="5">
        <v>0</v>
      </c>
      <c r="K12" s="6">
        <f t="shared" ref="K12:K17" si="3">C12*D12+E12*F12+G12*H12+I12*J12</f>
        <v>0</v>
      </c>
    </row>
    <row r="13" spans="1:11" x14ac:dyDescent="0.3">
      <c r="A13" s="24"/>
      <c r="B13" s="3">
        <v>5</v>
      </c>
      <c r="C13" s="4">
        <f>23989.8/12*13</f>
        <v>25988.949999999997</v>
      </c>
      <c r="D13" s="5">
        <v>0</v>
      </c>
      <c r="E13" s="4">
        <f>E14+750</f>
        <v>26175.609166666665</v>
      </c>
      <c r="F13" s="5">
        <v>0</v>
      </c>
      <c r="G13" s="4">
        <f>G14+750+350</f>
        <v>27575.609166666665</v>
      </c>
      <c r="H13" s="5">
        <v>0</v>
      </c>
      <c r="I13" s="4">
        <f>I14+750+150</f>
        <v>26775.609166666665</v>
      </c>
      <c r="J13" s="5">
        <v>0</v>
      </c>
      <c r="K13" s="6">
        <f t="shared" si="3"/>
        <v>0</v>
      </c>
    </row>
    <row r="14" spans="1:11" x14ac:dyDescent="0.3">
      <c r="A14" s="24"/>
      <c r="B14" s="3">
        <v>4</v>
      </c>
      <c r="C14" s="4">
        <f>23151.11/12*13</f>
        <v>25080.369166666667</v>
      </c>
      <c r="D14" s="5">
        <v>0</v>
      </c>
      <c r="E14" s="4">
        <f>E15+750</f>
        <v>25425.609166666665</v>
      </c>
      <c r="F14" s="5">
        <v>0</v>
      </c>
      <c r="G14" s="4">
        <f>G15+750+350</f>
        <v>26475.609166666665</v>
      </c>
      <c r="H14" s="5">
        <v>0</v>
      </c>
      <c r="I14" s="4">
        <f>I15+750+150</f>
        <v>25875.609166666665</v>
      </c>
      <c r="J14" s="5">
        <v>0</v>
      </c>
      <c r="K14" s="6">
        <f t="shared" si="3"/>
        <v>0</v>
      </c>
    </row>
    <row r="15" spans="1:11" x14ac:dyDescent="0.3">
      <c r="A15" s="24"/>
      <c r="B15" s="3">
        <v>3</v>
      </c>
      <c r="C15" s="4">
        <f>22469.78/12*13</f>
        <v>24342.261666666665</v>
      </c>
      <c r="D15" s="5">
        <v>0</v>
      </c>
      <c r="E15" s="4">
        <f>E16+750</f>
        <v>24675.609166666665</v>
      </c>
      <c r="F15" s="5">
        <v>0</v>
      </c>
      <c r="G15" s="4">
        <f>G16+750+350</f>
        <v>25375.609166666665</v>
      </c>
      <c r="H15" s="5">
        <v>0</v>
      </c>
      <c r="I15" s="4">
        <f>I16+750+150</f>
        <v>24975.609166666665</v>
      </c>
      <c r="J15" s="5">
        <v>0</v>
      </c>
      <c r="K15" s="6">
        <f t="shared" si="3"/>
        <v>0</v>
      </c>
    </row>
    <row r="16" spans="1:11" x14ac:dyDescent="0.3">
      <c r="A16" s="24"/>
      <c r="B16" s="3">
        <v>2</v>
      </c>
      <c r="C16" s="4">
        <f>21886.58/12*13</f>
        <v>23710.46166666667</v>
      </c>
      <c r="D16" s="5">
        <v>0</v>
      </c>
      <c r="E16" s="4">
        <f>E17+750</f>
        <v>23925.609166666665</v>
      </c>
      <c r="F16" s="5">
        <v>0</v>
      </c>
      <c r="G16" s="4">
        <f>G17+750+350</f>
        <v>24275.609166666665</v>
      </c>
      <c r="H16" s="5">
        <v>0</v>
      </c>
      <c r="I16" s="4">
        <f>I17+750+150</f>
        <v>24075.609166666665</v>
      </c>
      <c r="J16" s="5">
        <v>0</v>
      </c>
      <c r="K16" s="6">
        <f t="shared" si="3"/>
        <v>0</v>
      </c>
    </row>
    <row r="17" spans="1:19" x14ac:dyDescent="0.3">
      <c r="A17" s="24"/>
      <c r="B17" s="3">
        <v>1</v>
      </c>
      <c r="C17" s="4">
        <f>21392.87/12*13</f>
        <v>23175.609166666665</v>
      </c>
      <c r="D17" s="5">
        <v>0</v>
      </c>
      <c r="E17" s="4">
        <f>(21392.87/12)*13</f>
        <v>23175.609166666665</v>
      </c>
      <c r="F17" s="5">
        <v>0</v>
      </c>
      <c r="G17" s="4">
        <f>(21392.87/12)*13</f>
        <v>23175.609166666665</v>
      </c>
      <c r="H17" s="5">
        <v>0</v>
      </c>
      <c r="I17" s="4">
        <f>(21392.87/12)*13</f>
        <v>23175.609166666665</v>
      </c>
      <c r="J17" s="5">
        <v>0</v>
      </c>
      <c r="K17" s="6">
        <f t="shared" si="3"/>
        <v>0</v>
      </c>
      <c r="M17" s="9"/>
      <c r="N17" s="9"/>
      <c r="O17" s="9"/>
      <c r="P17" s="9"/>
      <c r="Q17" s="9"/>
      <c r="R17" s="9"/>
      <c r="S17" s="9"/>
    </row>
    <row r="18" spans="1:19" x14ac:dyDescent="0.3">
      <c r="A18" s="17" t="s">
        <v>1</v>
      </c>
      <c r="B18" s="18"/>
      <c r="C18" s="48"/>
      <c r="D18" s="49">
        <f>SUM(D12:D17)</f>
        <v>0</v>
      </c>
      <c r="E18" s="48"/>
      <c r="F18" s="49">
        <f>SUM(F12:F17)</f>
        <v>0</v>
      </c>
      <c r="G18" s="48"/>
      <c r="H18" s="49">
        <f>SUM(H12:H17)</f>
        <v>0</v>
      </c>
      <c r="I18" s="48"/>
      <c r="J18" s="49">
        <f>SUM(J12:J17)</f>
        <v>0</v>
      </c>
      <c r="K18" s="7">
        <f>SUM(K12:K17)</f>
        <v>0</v>
      </c>
    </row>
    <row r="19" spans="1:19" x14ac:dyDescent="0.3">
      <c r="A19" s="26" t="s">
        <v>14</v>
      </c>
      <c r="B19" s="3">
        <v>8</v>
      </c>
      <c r="C19" s="4">
        <f>22322.36/12*13</f>
        <v>24182.556666666667</v>
      </c>
      <c r="D19" s="5">
        <v>0</v>
      </c>
      <c r="E19" s="4">
        <v>0</v>
      </c>
      <c r="F19" s="5">
        <v>0</v>
      </c>
      <c r="G19" s="4">
        <v>0</v>
      </c>
      <c r="H19" s="5">
        <v>0</v>
      </c>
      <c r="I19" s="4">
        <v>0</v>
      </c>
      <c r="J19" s="5">
        <v>0</v>
      </c>
      <c r="K19" s="6">
        <f t="shared" ref="K19:K26" si="4">C19*D19+E19*F19+G19*H19+I19*J19</f>
        <v>0</v>
      </c>
    </row>
    <row r="20" spans="1:19" x14ac:dyDescent="0.3">
      <c r="A20" s="27"/>
      <c r="B20" s="3">
        <v>7</v>
      </c>
      <c r="C20" s="4">
        <f>21844.36/12*13</f>
        <v>23664.723333333335</v>
      </c>
      <c r="D20" s="5">
        <v>0</v>
      </c>
      <c r="E20" s="4">
        <v>0</v>
      </c>
      <c r="F20" s="5">
        <v>0</v>
      </c>
      <c r="G20" s="4">
        <v>0</v>
      </c>
      <c r="H20" s="5">
        <v>0</v>
      </c>
      <c r="I20" s="4">
        <v>0</v>
      </c>
      <c r="J20" s="5">
        <v>0</v>
      </c>
      <c r="K20" s="6">
        <f t="shared" si="4"/>
        <v>0</v>
      </c>
    </row>
    <row r="21" spans="1:19" x14ac:dyDescent="0.3">
      <c r="A21" s="27"/>
      <c r="B21" s="3">
        <v>6</v>
      </c>
      <c r="C21" s="4">
        <f>21055.9/12*13</f>
        <v>22810.558333333334</v>
      </c>
      <c r="D21" s="5">
        <v>0</v>
      </c>
      <c r="E21" s="4">
        <f t="shared" ref="E21:E24" si="5">E22+650</f>
        <v>23870.719166666666</v>
      </c>
      <c r="F21" s="5">
        <v>0</v>
      </c>
      <c r="G21" s="4">
        <v>0</v>
      </c>
      <c r="H21" s="5">
        <v>0</v>
      </c>
      <c r="I21" s="4">
        <v>0</v>
      </c>
      <c r="J21" s="5">
        <v>0</v>
      </c>
      <c r="K21" s="6">
        <f t="shared" si="4"/>
        <v>0</v>
      </c>
    </row>
    <row r="22" spans="1:19" x14ac:dyDescent="0.3">
      <c r="A22" s="27"/>
      <c r="B22" s="3">
        <v>5</v>
      </c>
      <c r="C22" s="4">
        <f>20692.31/12*13</f>
        <v>22416.66916666667</v>
      </c>
      <c r="D22" s="5">
        <v>0</v>
      </c>
      <c r="E22" s="4">
        <f t="shared" si="5"/>
        <v>23220.719166666666</v>
      </c>
      <c r="F22" s="5">
        <v>0</v>
      </c>
      <c r="G22" s="4">
        <v>0</v>
      </c>
      <c r="H22" s="5">
        <v>0</v>
      </c>
      <c r="I22" s="4">
        <v>0</v>
      </c>
      <c r="J22" s="5">
        <v>0</v>
      </c>
      <c r="K22" s="6">
        <f t="shared" si="4"/>
        <v>0</v>
      </c>
    </row>
    <row r="23" spans="1:19" x14ac:dyDescent="0.3">
      <c r="A23" s="27"/>
      <c r="B23" s="3">
        <v>4</v>
      </c>
      <c r="C23" s="4">
        <f>20364.41/12*13</f>
        <v>22061.444166666664</v>
      </c>
      <c r="D23" s="5">
        <v>0</v>
      </c>
      <c r="E23" s="4">
        <f t="shared" si="5"/>
        <v>22570.719166666666</v>
      </c>
      <c r="F23" s="5">
        <v>0</v>
      </c>
      <c r="G23" s="4">
        <v>0</v>
      </c>
      <c r="H23" s="5">
        <v>0</v>
      </c>
      <c r="I23" s="4">
        <v>0</v>
      </c>
      <c r="J23" s="5">
        <v>0</v>
      </c>
      <c r="K23" s="6">
        <f t="shared" si="4"/>
        <v>0</v>
      </c>
    </row>
    <row r="24" spans="1:19" x14ac:dyDescent="0.3">
      <c r="A24" s="27"/>
      <c r="B24" s="3">
        <v>3</v>
      </c>
      <c r="C24" s="4">
        <f>20072.88/12*13</f>
        <v>21745.62</v>
      </c>
      <c r="D24" s="5">
        <v>0</v>
      </c>
      <c r="E24" s="4">
        <f t="shared" si="5"/>
        <v>21920.719166666666</v>
      </c>
      <c r="F24" s="5">
        <v>0</v>
      </c>
      <c r="G24" s="4">
        <v>0</v>
      </c>
      <c r="H24" s="5">
        <v>0</v>
      </c>
      <c r="I24" s="4">
        <v>0</v>
      </c>
      <c r="J24" s="5">
        <v>0</v>
      </c>
      <c r="K24" s="6">
        <f t="shared" si="4"/>
        <v>0</v>
      </c>
    </row>
    <row r="25" spans="1:19" x14ac:dyDescent="0.3">
      <c r="A25" s="27"/>
      <c r="B25" s="3">
        <v>2</v>
      </c>
      <c r="C25" s="4">
        <f>19335.69/12*13</f>
        <v>20946.997499999998</v>
      </c>
      <c r="D25" s="5">
        <v>0</v>
      </c>
      <c r="E25" s="4">
        <f>E26+650</f>
        <v>21270.719166666666</v>
      </c>
      <c r="F25" s="5">
        <v>0</v>
      </c>
      <c r="G25" s="4">
        <v>0</v>
      </c>
      <c r="H25" s="5">
        <v>0</v>
      </c>
      <c r="I25" s="4">
        <v>0</v>
      </c>
      <c r="J25" s="5">
        <v>0</v>
      </c>
      <c r="K25" s="6">
        <f t="shared" si="4"/>
        <v>0</v>
      </c>
    </row>
    <row r="26" spans="1:19" x14ac:dyDescent="0.3">
      <c r="A26" s="28"/>
      <c r="B26" s="3">
        <v>1</v>
      </c>
      <c r="C26" s="4">
        <f>19034.51/12*13</f>
        <v>20620.719166666666</v>
      </c>
      <c r="D26" s="5">
        <v>0</v>
      </c>
      <c r="E26" s="4">
        <f>(19034.51/12)*13</f>
        <v>20620.719166666666</v>
      </c>
      <c r="F26" s="5">
        <v>0</v>
      </c>
      <c r="G26" s="4">
        <v>0</v>
      </c>
      <c r="H26" s="5">
        <v>0</v>
      </c>
      <c r="I26" s="4">
        <v>0</v>
      </c>
      <c r="J26" s="5">
        <v>0</v>
      </c>
      <c r="K26" s="6">
        <f t="shared" si="4"/>
        <v>0</v>
      </c>
    </row>
    <row r="27" spans="1:19" x14ac:dyDescent="0.3">
      <c r="A27" s="17" t="s">
        <v>1</v>
      </c>
      <c r="B27" s="18"/>
      <c r="C27" s="48"/>
      <c r="D27" s="49">
        <f>SUM(D19:D26)</f>
        <v>0</v>
      </c>
      <c r="E27" s="48"/>
      <c r="F27" s="49">
        <f>SUM(F19:F26)</f>
        <v>0</v>
      </c>
      <c r="G27" s="48"/>
      <c r="H27" s="49">
        <f>SUM(H19:H26)</f>
        <v>0</v>
      </c>
      <c r="I27" s="48"/>
      <c r="J27" s="49">
        <f>SUM(J19:J26)</f>
        <v>0</v>
      </c>
      <c r="K27" s="7">
        <f>SUM(K19:K26)</f>
        <v>0</v>
      </c>
    </row>
    <row r="28" spans="1:19" x14ac:dyDescent="0.3">
      <c r="A28" s="25" t="s">
        <v>13</v>
      </c>
      <c r="B28" s="3">
        <v>6</v>
      </c>
      <c r="C28" s="4">
        <f>19676.93/12*13</f>
        <v>21316.674166666668</v>
      </c>
      <c r="D28" s="5">
        <v>0</v>
      </c>
      <c r="E28" s="4">
        <f t="shared" ref="E28:E31" si="6">E29+550</f>
        <v>22556.91916666667</v>
      </c>
      <c r="F28" s="5">
        <v>0</v>
      </c>
      <c r="G28" s="4">
        <v>0</v>
      </c>
      <c r="H28" s="5">
        <v>0</v>
      </c>
      <c r="I28" s="4">
        <v>0</v>
      </c>
      <c r="J28" s="5">
        <v>0</v>
      </c>
      <c r="K28" s="6">
        <f t="shared" ref="K28:K33" si="7">C28*D28+E28*F28+G28*H28+I28*J28</f>
        <v>0</v>
      </c>
    </row>
    <row r="29" spans="1:19" x14ac:dyDescent="0.3">
      <c r="A29" s="25"/>
      <c r="B29" s="3">
        <v>5</v>
      </c>
      <c r="C29" s="4">
        <f>19344.93/12*13</f>
        <v>20957.0075</v>
      </c>
      <c r="D29" s="5">
        <v>0</v>
      </c>
      <c r="E29" s="4">
        <f t="shared" si="6"/>
        <v>22006.91916666667</v>
      </c>
      <c r="F29" s="5">
        <v>0</v>
      </c>
      <c r="G29" s="4">
        <v>0</v>
      </c>
      <c r="H29" s="5">
        <v>0</v>
      </c>
      <c r="I29" s="4">
        <v>0</v>
      </c>
      <c r="J29" s="5">
        <v>0</v>
      </c>
      <c r="K29" s="6">
        <f t="shared" si="7"/>
        <v>0</v>
      </c>
    </row>
    <row r="30" spans="1:19" x14ac:dyDescent="0.3">
      <c r="A30" s="25"/>
      <c r="B30" s="3">
        <v>4</v>
      </c>
      <c r="C30" s="4">
        <f>18968.58/12*13</f>
        <v>20549.295000000002</v>
      </c>
      <c r="D30" s="5">
        <v>0</v>
      </c>
      <c r="E30" s="4">
        <f t="shared" si="6"/>
        <v>21456.91916666667</v>
      </c>
      <c r="F30" s="5">
        <v>0</v>
      </c>
      <c r="G30" s="4">
        <v>0</v>
      </c>
      <c r="H30" s="5">
        <v>0</v>
      </c>
      <c r="I30" s="4">
        <v>0</v>
      </c>
      <c r="J30" s="5">
        <v>0</v>
      </c>
      <c r="K30" s="6">
        <f t="shared" si="7"/>
        <v>0</v>
      </c>
    </row>
    <row r="31" spans="1:19" x14ac:dyDescent="0.3">
      <c r="A31" s="25"/>
      <c r="B31" s="3">
        <v>3</v>
      </c>
      <c r="C31" s="4">
        <f>18653.28/12*13</f>
        <v>20207.719999999998</v>
      </c>
      <c r="D31" s="5">
        <v>0</v>
      </c>
      <c r="E31" s="4">
        <f t="shared" si="6"/>
        <v>20906.91916666667</v>
      </c>
      <c r="F31" s="5">
        <v>0</v>
      </c>
      <c r="G31" s="4">
        <v>0</v>
      </c>
      <c r="H31" s="5">
        <v>0</v>
      </c>
      <c r="I31" s="4">
        <v>0</v>
      </c>
      <c r="J31" s="5">
        <v>0</v>
      </c>
      <c r="K31" s="6">
        <f t="shared" si="7"/>
        <v>0</v>
      </c>
    </row>
    <row r="32" spans="1:19" x14ac:dyDescent="0.3">
      <c r="A32" s="25"/>
      <c r="B32" s="3">
        <v>2</v>
      </c>
      <c r="C32" s="4">
        <f>18283.31/12*13</f>
        <v>19806.91916666667</v>
      </c>
      <c r="D32" s="5">
        <v>0</v>
      </c>
      <c r="E32" s="4">
        <f>E33+550</f>
        <v>20356.91916666667</v>
      </c>
      <c r="F32" s="5">
        <v>0</v>
      </c>
      <c r="G32" s="4">
        <v>0</v>
      </c>
      <c r="H32" s="5">
        <v>0</v>
      </c>
      <c r="I32" s="4">
        <v>0</v>
      </c>
      <c r="J32" s="5">
        <v>0</v>
      </c>
      <c r="K32" s="6">
        <f t="shared" si="7"/>
        <v>0</v>
      </c>
    </row>
    <row r="33" spans="1:11" x14ac:dyDescent="0.3">
      <c r="A33" s="25"/>
      <c r="B33" s="3">
        <v>1</v>
      </c>
      <c r="C33" s="4">
        <f>18044.37/12*13</f>
        <v>19548.067500000001</v>
      </c>
      <c r="D33" s="5">
        <v>0</v>
      </c>
      <c r="E33" s="4">
        <f>(18283.31/12)*13</f>
        <v>19806.91916666667</v>
      </c>
      <c r="F33" s="5">
        <v>0</v>
      </c>
      <c r="G33" s="4">
        <v>0</v>
      </c>
      <c r="H33" s="5">
        <v>0</v>
      </c>
      <c r="I33" s="4">
        <v>0</v>
      </c>
      <c r="J33" s="5">
        <v>0</v>
      </c>
      <c r="K33" s="6">
        <f t="shared" si="7"/>
        <v>0</v>
      </c>
    </row>
    <row r="34" spans="1:11" x14ac:dyDescent="0.3">
      <c r="A34" s="17" t="s">
        <v>1</v>
      </c>
      <c r="B34" s="18"/>
      <c r="C34" s="48"/>
      <c r="D34" s="49">
        <f>SUM(D28:D33)</f>
        <v>0</v>
      </c>
      <c r="E34" s="48"/>
      <c r="F34" s="49">
        <f>SUM(F28:F33)</f>
        <v>0</v>
      </c>
      <c r="G34" s="48"/>
      <c r="H34" s="49">
        <f>SUM(H28:H33)</f>
        <v>0</v>
      </c>
      <c r="I34" s="48"/>
      <c r="J34" s="49">
        <f>SUM(J28:J33)</f>
        <v>0</v>
      </c>
      <c r="K34" s="7">
        <f>SUM(K28:K33)</f>
        <v>0</v>
      </c>
    </row>
    <row r="35" spans="1:11" x14ac:dyDescent="0.3">
      <c r="A35" s="12" t="s">
        <v>0</v>
      </c>
      <c r="B35" s="12"/>
      <c r="C35" s="11">
        <f>SUM(D34,D27,D18,D11)</f>
        <v>0</v>
      </c>
      <c r="D35" s="11"/>
      <c r="E35" s="11">
        <f>SUM(F34,F27,F18,F11)</f>
        <v>0</v>
      </c>
      <c r="F35" s="11"/>
      <c r="G35" s="11">
        <f>SUM(H34,H27,H18,H11)</f>
        <v>0</v>
      </c>
      <c r="H35" s="11"/>
      <c r="I35" s="11">
        <f>SUM(J34,J27,J18,J11)</f>
        <v>0</v>
      </c>
      <c r="J35" s="11"/>
      <c r="K35" s="13">
        <f>SUM(K34,K27,K18,K11)</f>
        <v>0</v>
      </c>
    </row>
    <row r="36" spans="1:11" x14ac:dyDescent="0.3">
      <c r="A36" s="12"/>
      <c r="B36" s="12"/>
      <c r="C36" s="19">
        <f>C35+E35+G35+I35</f>
        <v>0</v>
      </c>
      <c r="D36" s="20"/>
      <c r="E36" s="20"/>
      <c r="F36" s="20"/>
      <c r="G36" s="20"/>
      <c r="H36" s="20"/>
      <c r="I36" s="20"/>
      <c r="J36" s="21"/>
      <c r="K36" s="14"/>
    </row>
    <row r="37" spans="1:11" ht="12" customHeight="1" x14ac:dyDescent="0.3">
      <c r="A37" s="22" t="s">
        <v>9</v>
      </c>
      <c r="B37" s="22"/>
      <c r="C37" s="22"/>
      <c r="D37" s="22"/>
      <c r="E37" s="22"/>
      <c r="F37" s="22"/>
      <c r="G37" s="22"/>
      <c r="H37" s="22"/>
      <c r="I37" s="22"/>
      <c r="J37" s="22"/>
      <c r="K37" s="22"/>
    </row>
    <row r="38" spans="1:11" x14ac:dyDescent="0.3">
      <c r="A38" s="23"/>
      <c r="B38" s="23"/>
      <c r="C38" s="23"/>
      <c r="D38" s="23"/>
      <c r="E38" s="23"/>
      <c r="F38" s="23"/>
      <c r="G38" s="23"/>
      <c r="H38" s="23"/>
      <c r="I38" s="23"/>
      <c r="J38" s="23"/>
      <c r="K38" s="23"/>
    </row>
    <row r="39" spans="1:11" x14ac:dyDescent="0.3">
      <c r="A39" s="8"/>
      <c r="B39" s="8"/>
      <c r="C39" s="8"/>
      <c r="D39" s="8"/>
      <c r="E39" s="8"/>
      <c r="F39" s="8"/>
      <c r="G39" s="8"/>
      <c r="H39" s="8"/>
      <c r="I39" s="8"/>
      <c r="J39" s="8"/>
      <c r="K39" s="8"/>
    </row>
    <row r="41" spans="1:11" x14ac:dyDescent="0.3">
      <c r="A41" s="79" t="s">
        <v>71</v>
      </c>
      <c r="B41" s="79"/>
      <c r="C41" s="79"/>
      <c r="D41" s="79"/>
      <c r="E41" s="79"/>
      <c r="F41" s="79"/>
    </row>
    <row r="42" spans="1:11" x14ac:dyDescent="0.3">
      <c r="A42" s="74" t="s">
        <v>74</v>
      </c>
      <c r="B42" s="74"/>
      <c r="C42" s="74"/>
      <c r="D42" s="74"/>
      <c r="E42" s="74"/>
      <c r="F42" s="78">
        <f>K35</f>
        <v>0</v>
      </c>
      <c r="G42" s="78"/>
    </row>
    <row r="43" spans="1:11" x14ac:dyDescent="0.3">
      <c r="A43" s="74" t="s">
        <v>75</v>
      </c>
      <c r="B43" s="74"/>
      <c r="C43" s="74"/>
      <c r="D43" s="74"/>
      <c r="E43" s="74"/>
      <c r="F43" s="78">
        <f>'indennità comparto '!I7</f>
        <v>0</v>
      </c>
      <c r="G43" s="78"/>
    </row>
    <row r="44" spans="1:11" x14ac:dyDescent="0.3">
      <c r="A44" s="74" t="s">
        <v>72</v>
      </c>
      <c r="B44" s="74"/>
      <c r="C44" s="74"/>
      <c r="D44" s="75">
        <v>84.5</v>
      </c>
      <c r="E44" s="76">
        <v>0</v>
      </c>
      <c r="F44" s="78">
        <f>D44*E44</f>
        <v>0</v>
      </c>
      <c r="G44" s="78"/>
    </row>
    <row r="45" spans="1:11" x14ac:dyDescent="0.3">
      <c r="A45" s="74" t="s">
        <v>76</v>
      </c>
      <c r="B45" s="74"/>
      <c r="C45" s="74"/>
      <c r="D45" s="74"/>
      <c r="E45" s="74"/>
      <c r="F45" s="78">
        <f>'differenziali stipendiali'!G34</f>
        <v>0</v>
      </c>
      <c r="G45" s="78"/>
    </row>
    <row r="46" spans="1:11" x14ac:dyDescent="0.3">
      <c r="A46" s="74" t="s">
        <v>77</v>
      </c>
      <c r="B46" s="74"/>
      <c r="C46" s="74"/>
      <c r="D46" s="74"/>
      <c r="E46" s="74"/>
      <c r="F46" s="78">
        <f>'differenziali stipendiali'!G7+'differenziali stipendiali'!G23</f>
        <v>0</v>
      </c>
      <c r="G46" s="78"/>
    </row>
    <row r="49" spans="1:1" ht="13.2" x14ac:dyDescent="0.3">
      <c r="A49" s="77" t="s">
        <v>73</v>
      </c>
    </row>
  </sheetData>
  <sheetProtection algorithmName="SHA-512" hashValue="RxiBzPGT/5MOavodf+TNslL+2I0lho5NnsqZlJFDPHgIUE8xtBaEgCd97NPoRsGjQMtX2/mAJTrDULikmJbTfw==" saltValue="fRC4cSF8XI1Iv/+/WWbQoA==" spinCount="100000" sheet="1" objects="1" scenarios="1"/>
  <mergeCells count="30">
    <mergeCell ref="A46:E46"/>
    <mergeCell ref="F42:G42"/>
    <mergeCell ref="F43:G43"/>
    <mergeCell ref="F44:G44"/>
    <mergeCell ref="F45:G45"/>
    <mergeCell ref="F46:G46"/>
    <mergeCell ref="A41:F41"/>
    <mergeCell ref="A42:E42"/>
    <mergeCell ref="A43:E43"/>
    <mergeCell ref="A44:C44"/>
    <mergeCell ref="A45:E45"/>
    <mergeCell ref="A37:K38"/>
    <mergeCell ref="C35:D35"/>
    <mergeCell ref="A11:B11"/>
    <mergeCell ref="A12:A17"/>
    <mergeCell ref="A28:A33"/>
    <mergeCell ref="A19:A26"/>
    <mergeCell ref="A34:B34"/>
    <mergeCell ref="A27:B27"/>
    <mergeCell ref="A1:K1"/>
    <mergeCell ref="E35:F35"/>
    <mergeCell ref="A35:B36"/>
    <mergeCell ref="K35:K36"/>
    <mergeCell ref="A2:K2"/>
    <mergeCell ref="A4:A10"/>
    <mergeCell ref="A18:B18"/>
    <mergeCell ref="G35:H35"/>
    <mergeCell ref="I35:J35"/>
    <mergeCell ref="C36:J36"/>
    <mergeCell ref="M17:S17"/>
  </mergeCells>
  <hyperlinks>
    <hyperlink ref="A49" r:id="rId1" xr:uid="{69A2F0D7-758A-4152-9701-54CDAD3D44FD}"/>
  </hyperlinks>
  <pageMargins left="0.25" right="0.25"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3A81-2A7A-42EC-BE0E-540AE13FB728}">
  <dimension ref="A1:I8"/>
  <sheetViews>
    <sheetView workbookViewId="0">
      <selection activeCell="H14" sqref="H14"/>
    </sheetView>
  </sheetViews>
  <sheetFormatPr defaultRowHeight="14.4" x14ac:dyDescent="0.3"/>
  <cols>
    <col min="1" max="1" width="12.5546875" bestFit="1" customWidth="1"/>
    <col min="2" max="4" width="12.33203125" bestFit="1" customWidth="1"/>
    <col min="5" max="5" width="13.21875" bestFit="1" customWidth="1"/>
    <col min="6" max="6" width="12.77734375" bestFit="1" customWidth="1"/>
    <col min="7" max="7" width="12.6640625" bestFit="1" customWidth="1"/>
    <col min="8" max="8" width="12.109375" bestFit="1" customWidth="1"/>
    <col min="9" max="9" width="13" bestFit="1" customWidth="1"/>
  </cols>
  <sheetData>
    <row r="1" spans="1:9" x14ac:dyDescent="0.3">
      <c r="A1" s="29" t="s">
        <v>17</v>
      </c>
      <c r="B1" s="29"/>
      <c r="C1" s="29"/>
      <c r="D1" s="29"/>
      <c r="E1" s="29"/>
      <c r="F1" s="29"/>
      <c r="G1" s="29"/>
      <c r="H1" s="29"/>
      <c r="I1" s="29"/>
    </row>
    <row r="2" spans="1:9" ht="52.2" x14ac:dyDescent="0.3">
      <c r="A2" s="30" t="s">
        <v>18</v>
      </c>
      <c r="B2" s="31" t="s">
        <v>19</v>
      </c>
      <c r="C2" s="31" t="s">
        <v>20</v>
      </c>
      <c r="D2" s="31" t="s">
        <v>21</v>
      </c>
      <c r="E2" s="32" t="s">
        <v>22</v>
      </c>
      <c r="F2" s="33" t="s">
        <v>23</v>
      </c>
      <c r="G2" s="32" t="s">
        <v>24</v>
      </c>
      <c r="H2" s="32" t="s">
        <v>25</v>
      </c>
      <c r="I2" s="32" t="s">
        <v>26</v>
      </c>
    </row>
    <row r="3" spans="1:9" x14ac:dyDescent="0.3">
      <c r="A3" s="30" t="s">
        <v>27</v>
      </c>
      <c r="B3" s="34">
        <v>4.95</v>
      </c>
      <c r="C3" s="34">
        <v>7.95</v>
      </c>
      <c r="D3" s="34">
        <v>39</v>
      </c>
      <c r="E3" s="35">
        <v>51.9</v>
      </c>
      <c r="F3" s="36">
        <f>'progressione a regime'!D11+'progressione a regime'!F11+'progressione a regime'!H11+'progressione a regime'!J11</f>
        <v>0</v>
      </c>
      <c r="G3" s="37">
        <f>B3*F3*12</f>
        <v>0</v>
      </c>
      <c r="H3" s="38">
        <f>(C3+D3)*F3*12</f>
        <v>0</v>
      </c>
      <c r="I3" s="39">
        <f>(E3*F3)*12</f>
        <v>0</v>
      </c>
    </row>
    <row r="4" spans="1:9" x14ac:dyDescent="0.3">
      <c r="A4" s="30" t="s">
        <v>28</v>
      </c>
      <c r="B4" s="34">
        <v>4.34</v>
      </c>
      <c r="C4" s="34">
        <v>7.01</v>
      </c>
      <c r="D4" s="34">
        <v>34.450000000000003</v>
      </c>
      <c r="E4" s="35">
        <v>45.8</v>
      </c>
      <c r="F4" s="50">
        <f>'progressione a regime'!D18+'progressione a regime'!F18+'progressione a regime'!H18+'progressione a regime'!J18</f>
        <v>0</v>
      </c>
      <c r="G4" s="37">
        <f>B4*F4*12</f>
        <v>0</v>
      </c>
      <c r="H4" s="38">
        <f>(C4+D4)*F4*12</f>
        <v>0</v>
      </c>
      <c r="I4" s="39">
        <f>(E4*F4)*12</f>
        <v>0</v>
      </c>
    </row>
    <row r="5" spans="1:9" x14ac:dyDescent="0.3">
      <c r="A5" s="30" t="s">
        <v>29</v>
      </c>
      <c r="B5" s="34">
        <v>3.73</v>
      </c>
      <c r="C5" s="34">
        <v>6</v>
      </c>
      <c r="D5" s="34">
        <v>29.58</v>
      </c>
      <c r="E5" s="35">
        <v>39.31</v>
      </c>
      <c r="F5" s="36">
        <f>'progressione a regime'!D27+'progressione a regime'!F27+'progressione a regime'!H27+'progressione a regime'!J27</f>
        <v>0</v>
      </c>
      <c r="G5" s="37">
        <f>B5*F5*12</f>
        <v>0</v>
      </c>
      <c r="H5" s="38">
        <f>(C5+D5)*F5*12</f>
        <v>0</v>
      </c>
      <c r="I5" s="39">
        <f>(E5*F5)*12</f>
        <v>0</v>
      </c>
    </row>
    <row r="6" spans="1:9" x14ac:dyDescent="0.3">
      <c r="A6" s="30" t="s">
        <v>30</v>
      </c>
      <c r="B6" s="34">
        <v>3.09</v>
      </c>
      <c r="C6" s="34">
        <v>4.93</v>
      </c>
      <c r="D6" s="34">
        <v>24.38</v>
      </c>
      <c r="E6" s="35">
        <v>32.4</v>
      </c>
      <c r="F6" s="36">
        <f>'progressione a regime'!D34+'progressione a regime'!F34+'progressione a regime'!H34+'progressione a regime'!J34</f>
        <v>0</v>
      </c>
      <c r="G6" s="37">
        <f>B6*F6*12</f>
        <v>0</v>
      </c>
      <c r="H6" s="38">
        <f>(C6+D6)*F6*12</f>
        <v>0</v>
      </c>
      <c r="I6" s="39">
        <f>(E6*F6)*12</f>
        <v>0</v>
      </c>
    </row>
    <row r="7" spans="1:9" x14ac:dyDescent="0.3">
      <c r="A7" s="40" t="s">
        <v>31</v>
      </c>
      <c r="B7" s="41"/>
      <c r="C7" s="41"/>
      <c r="D7" s="41"/>
      <c r="E7" s="41"/>
      <c r="F7" s="42">
        <f>SUM(F3:F6)</f>
        <v>0</v>
      </c>
      <c r="G7" s="43">
        <f>SUM(G3:G6)</f>
        <v>0</v>
      </c>
      <c r="H7" s="44">
        <f>SUM(H3:H6)</f>
        <v>0</v>
      </c>
      <c r="I7" s="45">
        <f>SUM(I3:I6)</f>
        <v>0</v>
      </c>
    </row>
    <row r="8" spans="1:9" x14ac:dyDescent="0.3">
      <c r="A8" s="46" t="s">
        <v>32</v>
      </c>
      <c r="B8" s="47"/>
      <c r="C8" s="47"/>
      <c r="D8" s="47"/>
      <c r="E8" s="47"/>
      <c r="F8" s="47"/>
      <c r="G8" s="47"/>
      <c r="H8" s="47"/>
      <c r="I8" s="47"/>
    </row>
  </sheetData>
  <sheetProtection algorithmName="SHA-512" hashValue="sbiRun+dY4Pni6auI0/wSoyV9Jva8GHRqbuZLIQabKf/LuIAmHh33j08WJ3CvZVjb2eAIzrXczax2HZtVk41Zw==" saltValue="u/5153OEtROQ86tjIKnl9A==" spinCount="100000" sheet="1" objects="1" scenarios="1"/>
  <mergeCells count="2">
    <mergeCell ref="A1:I1"/>
    <mergeCell ref="A8:I8"/>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0A1ED-39EB-4237-A93B-1520B3E64589}">
  <dimension ref="A1:G46"/>
  <sheetViews>
    <sheetView workbookViewId="0">
      <selection activeCell="I7" sqref="I7"/>
    </sheetView>
  </sheetViews>
  <sheetFormatPr defaultRowHeight="14.4" x14ac:dyDescent="0.3"/>
  <cols>
    <col min="1" max="1" width="18.44140625" customWidth="1"/>
    <col min="2" max="2" width="20.44140625" bestFit="1" customWidth="1"/>
    <col min="3" max="3" width="8.109375" style="73" bestFit="1" customWidth="1"/>
    <col min="4" max="4" width="5.33203125" style="73" bestFit="1" customWidth="1"/>
    <col min="5" max="5" width="8.88671875" style="73" bestFit="1"/>
    <col min="6" max="6" width="6.109375" style="73" bestFit="1" customWidth="1"/>
    <col min="7" max="7" width="13.77734375" bestFit="1" customWidth="1"/>
    <col min="257" max="257" width="18.44140625" customWidth="1"/>
    <col min="258" max="258" width="20.44140625" bestFit="1" customWidth="1"/>
    <col min="259" max="259" width="8.109375" bestFit="1" customWidth="1"/>
    <col min="260" max="260" width="5.33203125" bestFit="1" customWidth="1"/>
    <col min="262" max="262" width="6.109375" bestFit="1" customWidth="1"/>
    <col min="263" max="263" width="13.77734375" bestFit="1" customWidth="1"/>
    <col min="513" max="513" width="18.44140625" customWidth="1"/>
    <col min="514" max="514" width="20.44140625" bestFit="1" customWidth="1"/>
    <col min="515" max="515" width="8.109375" bestFit="1" customWidth="1"/>
    <col min="516" max="516" width="5.33203125" bestFit="1" customWidth="1"/>
    <col min="518" max="518" width="6.109375" bestFit="1" customWidth="1"/>
    <col min="519" max="519" width="13.77734375" bestFit="1" customWidth="1"/>
    <col min="769" max="769" width="18.44140625" customWidth="1"/>
    <col min="770" max="770" width="20.44140625" bestFit="1" customWidth="1"/>
    <col min="771" max="771" width="8.109375" bestFit="1" customWidth="1"/>
    <col min="772" max="772" width="5.33203125" bestFit="1" customWidth="1"/>
    <col min="774" max="774" width="6.109375" bestFit="1" customWidth="1"/>
    <col min="775" max="775" width="13.77734375" bestFit="1" customWidth="1"/>
    <col min="1025" max="1025" width="18.44140625" customWidth="1"/>
    <col min="1026" max="1026" width="20.44140625" bestFit="1" customWidth="1"/>
    <col min="1027" max="1027" width="8.109375" bestFit="1" customWidth="1"/>
    <col min="1028" max="1028" width="5.33203125" bestFit="1" customWidth="1"/>
    <col min="1030" max="1030" width="6.109375" bestFit="1" customWidth="1"/>
    <col min="1031" max="1031" width="13.77734375" bestFit="1" customWidth="1"/>
    <col min="1281" max="1281" width="18.44140625" customWidth="1"/>
    <col min="1282" max="1282" width="20.44140625" bestFit="1" customWidth="1"/>
    <col min="1283" max="1283" width="8.109375" bestFit="1" customWidth="1"/>
    <col min="1284" max="1284" width="5.33203125" bestFit="1" customWidth="1"/>
    <col min="1286" max="1286" width="6.109375" bestFit="1" customWidth="1"/>
    <col min="1287" max="1287" width="13.77734375" bestFit="1" customWidth="1"/>
    <col min="1537" max="1537" width="18.44140625" customWidth="1"/>
    <col min="1538" max="1538" width="20.44140625" bestFit="1" customWidth="1"/>
    <col min="1539" max="1539" width="8.109375" bestFit="1" customWidth="1"/>
    <col min="1540" max="1540" width="5.33203125" bestFit="1" customWidth="1"/>
    <col min="1542" max="1542" width="6.109375" bestFit="1" customWidth="1"/>
    <col min="1543" max="1543" width="13.77734375" bestFit="1" customWidth="1"/>
    <col min="1793" max="1793" width="18.44140625" customWidth="1"/>
    <col min="1794" max="1794" width="20.44140625" bestFit="1" customWidth="1"/>
    <col min="1795" max="1795" width="8.109375" bestFit="1" customWidth="1"/>
    <col min="1796" max="1796" width="5.33203125" bestFit="1" customWidth="1"/>
    <col min="1798" max="1798" width="6.109375" bestFit="1" customWidth="1"/>
    <col min="1799" max="1799" width="13.77734375" bestFit="1" customWidth="1"/>
    <col min="2049" max="2049" width="18.44140625" customWidth="1"/>
    <col min="2050" max="2050" width="20.44140625" bestFit="1" customWidth="1"/>
    <col min="2051" max="2051" width="8.109375" bestFit="1" customWidth="1"/>
    <col min="2052" max="2052" width="5.33203125" bestFit="1" customWidth="1"/>
    <col min="2054" max="2054" width="6.109375" bestFit="1" customWidth="1"/>
    <col min="2055" max="2055" width="13.77734375" bestFit="1" customWidth="1"/>
    <col min="2305" max="2305" width="18.44140625" customWidth="1"/>
    <col min="2306" max="2306" width="20.44140625" bestFit="1" customWidth="1"/>
    <col min="2307" max="2307" width="8.109375" bestFit="1" customWidth="1"/>
    <col min="2308" max="2308" width="5.33203125" bestFit="1" customWidth="1"/>
    <col min="2310" max="2310" width="6.109375" bestFit="1" customWidth="1"/>
    <col min="2311" max="2311" width="13.77734375" bestFit="1" customWidth="1"/>
    <col min="2561" max="2561" width="18.44140625" customWidth="1"/>
    <col min="2562" max="2562" width="20.44140625" bestFit="1" customWidth="1"/>
    <col min="2563" max="2563" width="8.109375" bestFit="1" customWidth="1"/>
    <col min="2564" max="2564" width="5.33203125" bestFit="1" customWidth="1"/>
    <col min="2566" max="2566" width="6.109375" bestFit="1" customWidth="1"/>
    <col min="2567" max="2567" width="13.77734375" bestFit="1" customWidth="1"/>
    <col min="2817" max="2817" width="18.44140625" customWidth="1"/>
    <col min="2818" max="2818" width="20.44140625" bestFit="1" customWidth="1"/>
    <col min="2819" max="2819" width="8.109375" bestFit="1" customWidth="1"/>
    <col min="2820" max="2820" width="5.33203125" bestFit="1" customWidth="1"/>
    <col min="2822" max="2822" width="6.109375" bestFit="1" customWidth="1"/>
    <col min="2823" max="2823" width="13.77734375" bestFit="1" customWidth="1"/>
    <col min="3073" max="3073" width="18.44140625" customWidth="1"/>
    <col min="3074" max="3074" width="20.44140625" bestFit="1" customWidth="1"/>
    <col min="3075" max="3075" width="8.109375" bestFit="1" customWidth="1"/>
    <col min="3076" max="3076" width="5.33203125" bestFit="1" customWidth="1"/>
    <col min="3078" max="3078" width="6.109375" bestFit="1" customWidth="1"/>
    <col min="3079" max="3079" width="13.77734375" bestFit="1" customWidth="1"/>
    <col min="3329" max="3329" width="18.44140625" customWidth="1"/>
    <col min="3330" max="3330" width="20.44140625" bestFit="1" customWidth="1"/>
    <col min="3331" max="3331" width="8.109375" bestFit="1" customWidth="1"/>
    <col min="3332" max="3332" width="5.33203125" bestFit="1" customWidth="1"/>
    <col min="3334" max="3334" width="6.109375" bestFit="1" customWidth="1"/>
    <col min="3335" max="3335" width="13.77734375" bestFit="1" customWidth="1"/>
    <col min="3585" max="3585" width="18.44140625" customWidth="1"/>
    <col min="3586" max="3586" width="20.44140625" bestFit="1" customWidth="1"/>
    <col min="3587" max="3587" width="8.109375" bestFit="1" customWidth="1"/>
    <col min="3588" max="3588" width="5.33203125" bestFit="1" customWidth="1"/>
    <col min="3590" max="3590" width="6.109375" bestFit="1" customWidth="1"/>
    <col min="3591" max="3591" width="13.77734375" bestFit="1" customWidth="1"/>
    <col min="3841" max="3841" width="18.44140625" customWidth="1"/>
    <col min="3842" max="3842" width="20.44140625" bestFit="1" customWidth="1"/>
    <col min="3843" max="3843" width="8.109375" bestFit="1" customWidth="1"/>
    <col min="3844" max="3844" width="5.33203125" bestFit="1" customWidth="1"/>
    <col min="3846" max="3846" width="6.109375" bestFit="1" customWidth="1"/>
    <col min="3847" max="3847" width="13.77734375" bestFit="1" customWidth="1"/>
    <col min="4097" max="4097" width="18.44140625" customWidth="1"/>
    <col min="4098" max="4098" width="20.44140625" bestFit="1" customWidth="1"/>
    <col min="4099" max="4099" width="8.109375" bestFit="1" customWidth="1"/>
    <col min="4100" max="4100" width="5.33203125" bestFit="1" customWidth="1"/>
    <col min="4102" max="4102" width="6.109375" bestFit="1" customWidth="1"/>
    <col min="4103" max="4103" width="13.77734375" bestFit="1" customWidth="1"/>
    <col min="4353" max="4353" width="18.44140625" customWidth="1"/>
    <col min="4354" max="4354" width="20.44140625" bestFit="1" customWidth="1"/>
    <col min="4355" max="4355" width="8.109375" bestFit="1" customWidth="1"/>
    <col min="4356" max="4356" width="5.33203125" bestFit="1" customWidth="1"/>
    <col min="4358" max="4358" width="6.109375" bestFit="1" customWidth="1"/>
    <col min="4359" max="4359" width="13.77734375" bestFit="1" customWidth="1"/>
    <col min="4609" max="4609" width="18.44140625" customWidth="1"/>
    <col min="4610" max="4610" width="20.44140625" bestFit="1" customWidth="1"/>
    <col min="4611" max="4611" width="8.109375" bestFit="1" customWidth="1"/>
    <col min="4612" max="4612" width="5.33203125" bestFit="1" customWidth="1"/>
    <col min="4614" max="4614" width="6.109375" bestFit="1" customWidth="1"/>
    <col min="4615" max="4615" width="13.77734375" bestFit="1" customWidth="1"/>
    <col min="4865" max="4865" width="18.44140625" customWidth="1"/>
    <col min="4866" max="4866" width="20.44140625" bestFit="1" customWidth="1"/>
    <col min="4867" max="4867" width="8.109375" bestFit="1" customWidth="1"/>
    <col min="4868" max="4868" width="5.33203125" bestFit="1" customWidth="1"/>
    <col min="4870" max="4870" width="6.109375" bestFit="1" customWidth="1"/>
    <col min="4871" max="4871" width="13.77734375" bestFit="1" customWidth="1"/>
    <col min="5121" max="5121" width="18.44140625" customWidth="1"/>
    <col min="5122" max="5122" width="20.44140625" bestFit="1" customWidth="1"/>
    <col min="5123" max="5123" width="8.109375" bestFit="1" customWidth="1"/>
    <col min="5124" max="5124" width="5.33203125" bestFit="1" customWidth="1"/>
    <col min="5126" max="5126" width="6.109375" bestFit="1" customWidth="1"/>
    <col min="5127" max="5127" width="13.77734375" bestFit="1" customWidth="1"/>
    <col min="5377" max="5377" width="18.44140625" customWidth="1"/>
    <col min="5378" max="5378" width="20.44140625" bestFit="1" customWidth="1"/>
    <col min="5379" max="5379" width="8.109375" bestFit="1" customWidth="1"/>
    <col min="5380" max="5380" width="5.33203125" bestFit="1" customWidth="1"/>
    <col min="5382" max="5382" width="6.109375" bestFit="1" customWidth="1"/>
    <col min="5383" max="5383" width="13.77734375" bestFit="1" customWidth="1"/>
    <col min="5633" max="5633" width="18.44140625" customWidth="1"/>
    <col min="5634" max="5634" width="20.44140625" bestFit="1" customWidth="1"/>
    <col min="5635" max="5635" width="8.109375" bestFit="1" customWidth="1"/>
    <col min="5636" max="5636" width="5.33203125" bestFit="1" customWidth="1"/>
    <col min="5638" max="5638" width="6.109375" bestFit="1" customWidth="1"/>
    <col min="5639" max="5639" width="13.77734375" bestFit="1" customWidth="1"/>
    <col min="5889" max="5889" width="18.44140625" customWidth="1"/>
    <col min="5890" max="5890" width="20.44140625" bestFit="1" customWidth="1"/>
    <col min="5891" max="5891" width="8.109375" bestFit="1" customWidth="1"/>
    <col min="5892" max="5892" width="5.33203125" bestFit="1" customWidth="1"/>
    <col min="5894" max="5894" width="6.109375" bestFit="1" customWidth="1"/>
    <col min="5895" max="5895" width="13.77734375" bestFit="1" customWidth="1"/>
    <col min="6145" max="6145" width="18.44140625" customWidth="1"/>
    <col min="6146" max="6146" width="20.44140625" bestFit="1" customWidth="1"/>
    <col min="6147" max="6147" width="8.109375" bestFit="1" customWidth="1"/>
    <col min="6148" max="6148" width="5.33203125" bestFit="1" customWidth="1"/>
    <col min="6150" max="6150" width="6.109375" bestFit="1" customWidth="1"/>
    <col min="6151" max="6151" width="13.77734375" bestFit="1" customWidth="1"/>
    <col min="6401" max="6401" width="18.44140625" customWidth="1"/>
    <col min="6402" max="6402" width="20.44140625" bestFit="1" customWidth="1"/>
    <col min="6403" max="6403" width="8.109375" bestFit="1" customWidth="1"/>
    <col min="6404" max="6404" width="5.33203125" bestFit="1" customWidth="1"/>
    <col min="6406" max="6406" width="6.109375" bestFit="1" customWidth="1"/>
    <col min="6407" max="6407" width="13.77734375" bestFit="1" customWidth="1"/>
    <col min="6657" max="6657" width="18.44140625" customWidth="1"/>
    <col min="6658" max="6658" width="20.44140625" bestFit="1" customWidth="1"/>
    <col min="6659" max="6659" width="8.109375" bestFit="1" customWidth="1"/>
    <col min="6660" max="6660" width="5.33203125" bestFit="1" customWidth="1"/>
    <col min="6662" max="6662" width="6.109375" bestFit="1" customWidth="1"/>
    <col min="6663" max="6663" width="13.77734375" bestFit="1" customWidth="1"/>
    <col min="6913" max="6913" width="18.44140625" customWidth="1"/>
    <col min="6914" max="6914" width="20.44140625" bestFit="1" customWidth="1"/>
    <col min="6915" max="6915" width="8.109375" bestFit="1" customWidth="1"/>
    <col min="6916" max="6916" width="5.33203125" bestFit="1" customWidth="1"/>
    <col min="6918" max="6918" width="6.109375" bestFit="1" customWidth="1"/>
    <col min="6919" max="6919" width="13.77734375" bestFit="1" customWidth="1"/>
    <col min="7169" max="7169" width="18.44140625" customWidth="1"/>
    <col min="7170" max="7170" width="20.44140625" bestFit="1" customWidth="1"/>
    <col min="7171" max="7171" width="8.109375" bestFit="1" customWidth="1"/>
    <col min="7172" max="7172" width="5.33203125" bestFit="1" customWidth="1"/>
    <col min="7174" max="7174" width="6.109375" bestFit="1" customWidth="1"/>
    <col min="7175" max="7175" width="13.77734375" bestFit="1" customWidth="1"/>
    <col min="7425" max="7425" width="18.44140625" customWidth="1"/>
    <col min="7426" max="7426" width="20.44140625" bestFit="1" customWidth="1"/>
    <col min="7427" max="7427" width="8.109375" bestFit="1" customWidth="1"/>
    <col min="7428" max="7428" width="5.33203125" bestFit="1" customWidth="1"/>
    <col min="7430" max="7430" width="6.109375" bestFit="1" customWidth="1"/>
    <col min="7431" max="7431" width="13.77734375" bestFit="1" customWidth="1"/>
    <col min="7681" max="7681" width="18.44140625" customWidth="1"/>
    <col min="7682" max="7682" width="20.44140625" bestFit="1" customWidth="1"/>
    <col min="7683" max="7683" width="8.109375" bestFit="1" customWidth="1"/>
    <col min="7684" max="7684" width="5.33203125" bestFit="1" customWidth="1"/>
    <col min="7686" max="7686" width="6.109375" bestFit="1" customWidth="1"/>
    <col min="7687" max="7687" width="13.77734375" bestFit="1" customWidth="1"/>
    <col min="7937" max="7937" width="18.44140625" customWidth="1"/>
    <col min="7938" max="7938" width="20.44140625" bestFit="1" customWidth="1"/>
    <col min="7939" max="7939" width="8.109375" bestFit="1" customWidth="1"/>
    <col min="7940" max="7940" width="5.33203125" bestFit="1" customWidth="1"/>
    <col min="7942" max="7942" width="6.109375" bestFit="1" customWidth="1"/>
    <col min="7943" max="7943" width="13.77734375" bestFit="1" customWidth="1"/>
    <col min="8193" max="8193" width="18.44140625" customWidth="1"/>
    <col min="8194" max="8194" width="20.44140625" bestFit="1" customWidth="1"/>
    <col min="8195" max="8195" width="8.109375" bestFit="1" customWidth="1"/>
    <col min="8196" max="8196" width="5.33203125" bestFit="1" customWidth="1"/>
    <col min="8198" max="8198" width="6.109375" bestFit="1" customWidth="1"/>
    <col min="8199" max="8199" width="13.77734375" bestFit="1" customWidth="1"/>
    <col min="8449" max="8449" width="18.44140625" customWidth="1"/>
    <col min="8450" max="8450" width="20.44140625" bestFit="1" customWidth="1"/>
    <col min="8451" max="8451" width="8.109375" bestFit="1" customWidth="1"/>
    <col min="8452" max="8452" width="5.33203125" bestFit="1" customWidth="1"/>
    <col min="8454" max="8454" width="6.109375" bestFit="1" customWidth="1"/>
    <col min="8455" max="8455" width="13.77734375" bestFit="1" customWidth="1"/>
    <col min="8705" max="8705" width="18.44140625" customWidth="1"/>
    <col min="8706" max="8706" width="20.44140625" bestFit="1" customWidth="1"/>
    <col min="8707" max="8707" width="8.109375" bestFit="1" customWidth="1"/>
    <col min="8708" max="8708" width="5.33203125" bestFit="1" customWidth="1"/>
    <col min="8710" max="8710" width="6.109375" bestFit="1" customWidth="1"/>
    <col min="8711" max="8711" width="13.77734375" bestFit="1" customWidth="1"/>
    <col min="8961" max="8961" width="18.44140625" customWidth="1"/>
    <col min="8962" max="8962" width="20.44140625" bestFit="1" customWidth="1"/>
    <col min="8963" max="8963" width="8.109375" bestFit="1" customWidth="1"/>
    <col min="8964" max="8964" width="5.33203125" bestFit="1" customWidth="1"/>
    <col min="8966" max="8966" width="6.109375" bestFit="1" customWidth="1"/>
    <col min="8967" max="8967" width="13.77734375" bestFit="1" customWidth="1"/>
    <col min="9217" max="9217" width="18.44140625" customWidth="1"/>
    <col min="9218" max="9218" width="20.44140625" bestFit="1" customWidth="1"/>
    <col min="9219" max="9219" width="8.109375" bestFit="1" customWidth="1"/>
    <col min="9220" max="9220" width="5.33203125" bestFit="1" customWidth="1"/>
    <col min="9222" max="9222" width="6.109375" bestFit="1" customWidth="1"/>
    <col min="9223" max="9223" width="13.77734375" bestFit="1" customWidth="1"/>
    <col min="9473" max="9473" width="18.44140625" customWidth="1"/>
    <col min="9474" max="9474" width="20.44140625" bestFit="1" customWidth="1"/>
    <col min="9475" max="9475" width="8.109375" bestFit="1" customWidth="1"/>
    <col min="9476" max="9476" width="5.33203125" bestFit="1" customWidth="1"/>
    <col min="9478" max="9478" width="6.109375" bestFit="1" customWidth="1"/>
    <col min="9479" max="9479" width="13.77734375" bestFit="1" customWidth="1"/>
    <col min="9729" max="9729" width="18.44140625" customWidth="1"/>
    <col min="9730" max="9730" width="20.44140625" bestFit="1" customWidth="1"/>
    <col min="9731" max="9731" width="8.109375" bestFit="1" customWidth="1"/>
    <col min="9732" max="9732" width="5.33203125" bestFit="1" customWidth="1"/>
    <col min="9734" max="9734" width="6.109375" bestFit="1" customWidth="1"/>
    <col min="9735" max="9735" width="13.77734375" bestFit="1" customWidth="1"/>
    <col min="9985" max="9985" width="18.44140625" customWidth="1"/>
    <col min="9986" max="9986" width="20.44140625" bestFit="1" customWidth="1"/>
    <col min="9987" max="9987" width="8.109375" bestFit="1" customWidth="1"/>
    <col min="9988" max="9988" width="5.33203125" bestFit="1" customWidth="1"/>
    <col min="9990" max="9990" width="6.109375" bestFit="1" customWidth="1"/>
    <col min="9991" max="9991" width="13.77734375" bestFit="1" customWidth="1"/>
    <col min="10241" max="10241" width="18.44140625" customWidth="1"/>
    <col min="10242" max="10242" width="20.44140625" bestFit="1" customWidth="1"/>
    <col min="10243" max="10243" width="8.109375" bestFit="1" customWidth="1"/>
    <col min="10244" max="10244" width="5.33203125" bestFit="1" customWidth="1"/>
    <col min="10246" max="10246" width="6.109375" bestFit="1" customWidth="1"/>
    <col min="10247" max="10247" width="13.77734375" bestFit="1" customWidth="1"/>
    <col min="10497" max="10497" width="18.44140625" customWidth="1"/>
    <col min="10498" max="10498" width="20.44140625" bestFit="1" customWidth="1"/>
    <col min="10499" max="10499" width="8.109375" bestFit="1" customWidth="1"/>
    <col min="10500" max="10500" width="5.33203125" bestFit="1" customWidth="1"/>
    <col min="10502" max="10502" width="6.109375" bestFit="1" customWidth="1"/>
    <col min="10503" max="10503" width="13.77734375" bestFit="1" customWidth="1"/>
    <col min="10753" max="10753" width="18.44140625" customWidth="1"/>
    <col min="10754" max="10754" width="20.44140625" bestFit="1" customWidth="1"/>
    <col min="10755" max="10755" width="8.109375" bestFit="1" customWidth="1"/>
    <col min="10756" max="10756" width="5.33203125" bestFit="1" customWidth="1"/>
    <col min="10758" max="10758" width="6.109375" bestFit="1" customWidth="1"/>
    <col min="10759" max="10759" width="13.77734375" bestFit="1" customWidth="1"/>
    <col min="11009" max="11009" width="18.44140625" customWidth="1"/>
    <col min="11010" max="11010" width="20.44140625" bestFit="1" customWidth="1"/>
    <col min="11011" max="11011" width="8.109375" bestFit="1" customWidth="1"/>
    <col min="11012" max="11012" width="5.33203125" bestFit="1" customWidth="1"/>
    <col min="11014" max="11014" width="6.109375" bestFit="1" customWidth="1"/>
    <col min="11015" max="11015" width="13.77734375" bestFit="1" customWidth="1"/>
    <col min="11265" max="11265" width="18.44140625" customWidth="1"/>
    <col min="11266" max="11266" width="20.44140625" bestFit="1" customWidth="1"/>
    <col min="11267" max="11267" width="8.109375" bestFit="1" customWidth="1"/>
    <col min="11268" max="11268" width="5.33203125" bestFit="1" customWidth="1"/>
    <col min="11270" max="11270" width="6.109375" bestFit="1" customWidth="1"/>
    <col min="11271" max="11271" width="13.77734375" bestFit="1" customWidth="1"/>
    <col min="11521" max="11521" width="18.44140625" customWidth="1"/>
    <col min="11522" max="11522" width="20.44140625" bestFit="1" customWidth="1"/>
    <col min="11523" max="11523" width="8.109375" bestFit="1" customWidth="1"/>
    <col min="11524" max="11524" width="5.33203125" bestFit="1" customWidth="1"/>
    <col min="11526" max="11526" width="6.109375" bestFit="1" customWidth="1"/>
    <col min="11527" max="11527" width="13.77734375" bestFit="1" customWidth="1"/>
    <col min="11777" max="11777" width="18.44140625" customWidth="1"/>
    <col min="11778" max="11778" width="20.44140625" bestFit="1" customWidth="1"/>
    <col min="11779" max="11779" width="8.109375" bestFit="1" customWidth="1"/>
    <col min="11780" max="11780" width="5.33203125" bestFit="1" customWidth="1"/>
    <col min="11782" max="11782" width="6.109375" bestFit="1" customWidth="1"/>
    <col min="11783" max="11783" width="13.77734375" bestFit="1" customWidth="1"/>
    <col min="12033" max="12033" width="18.44140625" customWidth="1"/>
    <col min="12034" max="12034" width="20.44140625" bestFit="1" customWidth="1"/>
    <col min="12035" max="12035" width="8.109375" bestFit="1" customWidth="1"/>
    <col min="12036" max="12036" width="5.33203125" bestFit="1" customWidth="1"/>
    <col min="12038" max="12038" width="6.109375" bestFit="1" customWidth="1"/>
    <col min="12039" max="12039" width="13.77734375" bestFit="1" customWidth="1"/>
    <col min="12289" max="12289" width="18.44140625" customWidth="1"/>
    <col min="12290" max="12290" width="20.44140625" bestFit="1" customWidth="1"/>
    <col min="12291" max="12291" width="8.109375" bestFit="1" customWidth="1"/>
    <col min="12292" max="12292" width="5.33203125" bestFit="1" customWidth="1"/>
    <col min="12294" max="12294" width="6.109375" bestFit="1" customWidth="1"/>
    <col min="12295" max="12295" width="13.77734375" bestFit="1" customWidth="1"/>
    <col min="12545" max="12545" width="18.44140625" customWidth="1"/>
    <col min="12546" max="12546" width="20.44140625" bestFit="1" customWidth="1"/>
    <col min="12547" max="12547" width="8.109375" bestFit="1" customWidth="1"/>
    <col min="12548" max="12548" width="5.33203125" bestFit="1" customWidth="1"/>
    <col min="12550" max="12550" width="6.109375" bestFit="1" customWidth="1"/>
    <col min="12551" max="12551" width="13.77734375" bestFit="1" customWidth="1"/>
    <col min="12801" max="12801" width="18.44140625" customWidth="1"/>
    <col min="12802" max="12802" width="20.44140625" bestFit="1" customWidth="1"/>
    <col min="12803" max="12803" width="8.109375" bestFit="1" customWidth="1"/>
    <col min="12804" max="12804" width="5.33203125" bestFit="1" customWidth="1"/>
    <col min="12806" max="12806" width="6.109375" bestFit="1" customWidth="1"/>
    <col min="12807" max="12807" width="13.77734375" bestFit="1" customWidth="1"/>
    <col min="13057" max="13057" width="18.44140625" customWidth="1"/>
    <col min="13058" max="13058" width="20.44140625" bestFit="1" customWidth="1"/>
    <col min="13059" max="13059" width="8.109375" bestFit="1" customWidth="1"/>
    <col min="13060" max="13060" width="5.33203125" bestFit="1" customWidth="1"/>
    <col min="13062" max="13062" width="6.109375" bestFit="1" customWidth="1"/>
    <col min="13063" max="13063" width="13.77734375" bestFit="1" customWidth="1"/>
    <col min="13313" max="13313" width="18.44140625" customWidth="1"/>
    <col min="13314" max="13314" width="20.44140625" bestFit="1" customWidth="1"/>
    <col min="13315" max="13315" width="8.109375" bestFit="1" customWidth="1"/>
    <col min="13316" max="13316" width="5.33203125" bestFit="1" customWidth="1"/>
    <col min="13318" max="13318" width="6.109375" bestFit="1" customWidth="1"/>
    <col min="13319" max="13319" width="13.77734375" bestFit="1" customWidth="1"/>
    <col min="13569" max="13569" width="18.44140625" customWidth="1"/>
    <col min="13570" max="13570" width="20.44140625" bestFit="1" customWidth="1"/>
    <col min="13571" max="13571" width="8.109375" bestFit="1" customWidth="1"/>
    <col min="13572" max="13572" width="5.33203125" bestFit="1" customWidth="1"/>
    <col min="13574" max="13574" width="6.109375" bestFit="1" customWidth="1"/>
    <col min="13575" max="13575" width="13.77734375" bestFit="1" customWidth="1"/>
    <col min="13825" max="13825" width="18.44140625" customWidth="1"/>
    <col min="13826" max="13826" width="20.44140625" bestFit="1" customWidth="1"/>
    <col min="13827" max="13827" width="8.109375" bestFit="1" customWidth="1"/>
    <col min="13828" max="13828" width="5.33203125" bestFit="1" customWidth="1"/>
    <col min="13830" max="13830" width="6.109375" bestFit="1" customWidth="1"/>
    <col min="13831" max="13831" width="13.77734375" bestFit="1" customWidth="1"/>
    <col min="14081" max="14081" width="18.44140625" customWidth="1"/>
    <col min="14082" max="14082" width="20.44140625" bestFit="1" customWidth="1"/>
    <col min="14083" max="14083" width="8.109375" bestFit="1" customWidth="1"/>
    <col min="14084" max="14084" width="5.33203125" bestFit="1" customWidth="1"/>
    <col min="14086" max="14086" width="6.109375" bestFit="1" customWidth="1"/>
    <col min="14087" max="14087" width="13.77734375" bestFit="1" customWidth="1"/>
    <col min="14337" max="14337" width="18.44140625" customWidth="1"/>
    <col min="14338" max="14338" width="20.44140625" bestFit="1" customWidth="1"/>
    <col min="14339" max="14339" width="8.109375" bestFit="1" customWidth="1"/>
    <col min="14340" max="14340" width="5.33203125" bestFit="1" customWidth="1"/>
    <col min="14342" max="14342" width="6.109375" bestFit="1" customWidth="1"/>
    <col min="14343" max="14343" width="13.77734375" bestFit="1" customWidth="1"/>
    <col min="14593" max="14593" width="18.44140625" customWidth="1"/>
    <col min="14594" max="14594" width="20.44140625" bestFit="1" customWidth="1"/>
    <col min="14595" max="14595" width="8.109375" bestFit="1" customWidth="1"/>
    <col min="14596" max="14596" width="5.33203125" bestFit="1" customWidth="1"/>
    <col min="14598" max="14598" width="6.109375" bestFit="1" customWidth="1"/>
    <col min="14599" max="14599" width="13.77734375" bestFit="1" customWidth="1"/>
    <col min="14849" max="14849" width="18.44140625" customWidth="1"/>
    <col min="14850" max="14850" width="20.44140625" bestFit="1" customWidth="1"/>
    <col min="14851" max="14851" width="8.109375" bestFit="1" customWidth="1"/>
    <col min="14852" max="14852" width="5.33203125" bestFit="1" customWidth="1"/>
    <col min="14854" max="14854" width="6.109375" bestFit="1" customWidth="1"/>
    <col min="14855" max="14855" width="13.77734375" bestFit="1" customWidth="1"/>
    <col min="15105" max="15105" width="18.44140625" customWidth="1"/>
    <col min="15106" max="15106" width="20.44140625" bestFit="1" customWidth="1"/>
    <col min="15107" max="15107" width="8.109375" bestFit="1" customWidth="1"/>
    <col min="15108" max="15108" width="5.33203125" bestFit="1" customWidth="1"/>
    <col min="15110" max="15110" width="6.109375" bestFit="1" customWidth="1"/>
    <col min="15111" max="15111" width="13.77734375" bestFit="1" customWidth="1"/>
    <col min="15361" max="15361" width="18.44140625" customWidth="1"/>
    <col min="15362" max="15362" width="20.44140625" bestFit="1" customWidth="1"/>
    <col min="15363" max="15363" width="8.109375" bestFit="1" customWidth="1"/>
    <col min="15364" max="15364" width="5.33203125" bestFit="1" customWidth="1"/>
    <col min="15366" max="15366" width="6.109375" bestFit="1" customWidth="1"/>
    <col min="15367" max="15367" width="13.77734375" bestFit="1" customWidth="1"/>
    <col min="15617" max="15617" width="18.44140625" customWidth="1"/>
    <col min="15618" max="15618" width="20.44140625" bestFit="1" customWidth="1"/>
    <col min="15619" max="15619" width="8.109375" bestFit="1" customWidth="1"/>
    <col min="15620" max="15620" width="5.33203125" bestFit="1" customWidth="1"/>
    <col min="15622" max="15622" width="6.109375" bestFit="1" customWidth="1"/>
    <col min="15623" max="15623" width="13.77734375" bestFit="1" customWidth="1"/>
    <col min="15873" max="15873" width="18.44140625" customWidth="1"/>
    <col min="15874" max="15874" width="20.44140625" bestFit="1" customWidth="1"/>
    <col min="15875" max="15875" width="8.109375" bestFit="1" customWidth="1"/>
    <col min="15876" max="15876" width="5.33203125" bestFit="1" customWidth="1"/>
    <col min="15878" max="15878" width="6.109375" bestFit="1" customWidth="1"/>
    <col min="15879" max="15879" width="13.77734375" bestFit="1" customWidth="1"/>
    <col min="16129" max="16129" width="18.44140625" customWidth="1"/>
    <col min="16130" max="16130" width="20.44140625" bestFit="1" customWidth="1"/>
    <col min="16131" max="16131" width="8.109375" bestFit="1" customWidth="1"/>
    <col min="16132" max="16132" width="5.33203125" bestFit="1" customWidth="1"/>
    <col min="16134" max="16134" width="6.109375" bestFit="1" customWidth="1"/>
    <col min="16135" max="16135" width="13.77734375" bestFit="1" customWidth="1"/>
  </cols>
  <sheetData>
    <row r="1" spans="1:7" x14ac:dyDescent="0.3">
      <c r="A1" s="51" t="s">
        <v>33</v>
      </c>
      <c r="B1" s="51"/>
      <c r="C1" s="51"/>
      <c r="D1" s="51"/>
      <c r="E1" s="51"/>
      <c r="F1" s="51"/>
      <c r="G1" s="51"/>
    </row>
    <row r="2" spans="1:7" ht="20.399999999999999" x14ac:dyDescent="0.3">
      <c r="A2" s="52" t="s">
        <v>34</v>
      </c>
      <c r="B2" s="52" t="s">
        <v>35</v>
      </c>
      <c r="C2" s="53" t="s">
        <v>18</v>
      </c>
      <c r="D2" s="54" t="s">
        <v>36</v>
      </c>
      <c r="E2" s="53" t="s">
        <v>37</v>
      </c>
      <c r="F2" s="54" t="s">
        <v>38</v>
      </c>
      <c r="G2" s="55" t="s">
        <v>39</v>
      </c>
    </row>
    <row r="3" spans="1:7" x14ac:dyDescent="0.3">
      <c r="A3" s="56">
        <v>104.28</v>
      </c>
      <c r="B3" s="56">
        <f>A3*13</f>
        <v>1355.64</v>
      </c>
      <c r="C3" s="57" t="s">
        <v>40</v>
      </c>
      <c r="D3" s="58">
        <v>0</v>
      </c>
      <c r="E3" s="57" t="s">
        <v>40</v>
      </c>
      <c r="F3" s="58">
        <v>0</v>
      </c>
      <c r="G3" s="59">
        <f t="shared" ref="G3:G9" si="0">(B3-$B$9)*D3+(B3-$B$7)*F3</f>
        <v>0</v>
      </c>
    </row>
    <row r="4" spans="1:7" x14ac:dyDescent="0.3">
      <c r="A4" s="56">
        <v>97.5</v>
      </c>
      <c r="B4" s="56">
        <f t="shared" ref="B4:B9" si="1">A4*13</f>
        <v>1267.5</v>
      </c>
      <c r="C4" s="57" t="s">
        <v>41</v>
      </c>
      <c r="D4" s="58">
        <v>0</v>
      </c>
      <c r="E4" s="57" t="s">
        <v>41</v>
      </c>
      <c r="F4" s="58">
        <v>0</v>
      </c>
      <c r="G4" s="59">
        <f t="shared" si="0"/>
        <v>0</v>
      </c>
    </row>
    <row r="5" spans="1:7" x14ac:dyDescent="0.3">
      <c r="A5" s="56">
        <v>91.2</v>
      </c>
      <c r="B5" s="56">
        <f t="shared" si="1"/>
        <v>1185.6000000000001</v>
      </c>
      <c r="C5" s="60" t="s">
        <v>42</v>
      </c>
      <c r="D5" s="58">
        <v>0</v>
      </c>
      <c r="E5" s="60" t="s">
        <v>42</v>
      </c>
      <c r="F5" s="58">
        <v>0</v>
      </c>
      <c r="G5" s="59">
        <f t="shared" si="0"/>
        <v>0</v>
      </c>
    </row>
    <row r="6" spans="1:7" x14ac:dyDescent="0.3">
      <c r="A6" s="56">
        <v>87.3</v>
      </c>
      <c r="B6" s="56">
        <f t="shared" si="1"/>
        <v>1134.8999999999999</v>
      </c>
      <c r="C6" s="60" t="s">
        <v>43</v>
      </c>
      <c r="D6" s="58">
        <v>0</v>
      </c>
      <c r="E6" s="60" t="s">
        <v>43</v>
      </c>
      <c r="F6" s="58">
        <v>0</v>
      </c>
      <c r="G6" s="59">
        <f t="shared" si="0"/>
        <v>0</v>
      </c>
    </row>
    <row r="7" spans="1:7" x14ac:dyDescent="0.3">
      <c r="A7" s="56">
        <v>83.8</v>
      </c>
      <c r="B7" s="56">
        <f t="shared" si="1"/>
        <v>1089.3999999999999</v>
      </c>
      <c r="C7" s="60" t="s">
        <v>44</v>
      </c>
      <c r="D7" s="58">
        <v>0</v>
      </c>
      <c r="E7" s="60" t="s">
        <v>45</v>
      </c>
      <c r="F7" s="58">
        <v>0</v>
      </c>
      <c r="G7" s="59">
        <f t="shared" si="0"/>
        <v>0</v>
      </c>
    </row>
    <row r="8" spans="1:7" x14ac:dyDescent="0.3">
      <c r="A8" s="56">
        <v>76.400000000000006</v>
      </c>
      <c r="B8" s="56">
        <f t="shared" si="1"/>
        <v>993.2</v>
      </c>
      <c r="C8" s="60" t="s">
        <v>46</v>
      </c>
      <c r="D8" s="58">
        <v>0</v>
      </c>
      <c r="E8" s="61"/>
      <c r="F8" s="61"/>
      <c r="G8" s="59">
        <f t="shared" si="0"/>
        <v>0</v>
      </c>
    </row>
    <row r="9" spans="1:7" x14ac:dyDescent="0.3">
      <c r="A9" s="56">
        <v>72.8</v>
      </c>
      <c r="B9" s="56">
        <f t="shared" si="1"/>
        <v>946.4</v>
      </c>
      <c r="C9" s="60" t="s">
        <v>47</v>
      </c>
      <c r="D9" s="58">
        <v>0</v>
      </c>
      <c r="E9" s="61"/>
      <c r="F9" s="61"/>
      <c r="G9" s="59">
        <f t="shared" si="0"/>
        <v>0</v>
      </c>
    </row>
    <row r="10" spans="1:7" x14ac:dyDescent="0.3">
      <c r="A10" s="62"/>
      <c r="B10" s="62"/>
      <c r="C10" s="63" t="s">
        <v>48</v>
      </c>
      <c r="D10" s="63">
        <f>SUM(D3:D9)</f>
        <v>0</v>
      </c>
      <c r="E10" s="63" t="s">
        <v>48</v>
      </c>
      <c r="F10" s="63">
        <f>SUM(F3:F9)</f>
        <v>0</v>
      </c>
      <c r="G10" s="64">
        <f>SUM(G3:G9)</f>
        <v>0</v>
      </c>
    </row>
    <row r="11" spans="1:7" x14ac:dyDescent="0.3">
      <c r="A11" s="56">
        <v>92.65</v>
      </c>
      <c r="B11" s="56">
        <f t="shared" ref="B11:B16" si="2">A11*13</f>
        <v>1204.45</v>
      </c>
      <c r="C11" s="60" t="s">
        <v>49</v>
      </c>
      <c r="D11" s="58">
        <v>0</v>
      </c>
      <c r="E11" s="61"/>
      <c r="F11" s="61"/>
      <c r="G11" s="59">
        <f t="shared" ref="G11:G16" si="3">(B11-$B$16)*D11</f>
        <v>0</v>
      </c>
    </row>
    <row r="12" spans="1:7" x14ac:dyDescent="0.3">
      <c r="A12" s="56">
        <v>75.400000000000006</v>
      </c>
      <c r="B12" s="56">
        <f t="shared" si="2"/>
        <v>980.2</v>
      </c>
      <c r="C12" s="60" t="s">
        <v>50</v>
      </c>
      <c r="D12" s="58">
        <v>0</v>
      </c>
      <c r="E12" s="61"/>
      <c r="F12" s="61"/>
      <c r="G12" s="59">
        <f t="shared" si="3"/>
        <v>0</v>
      </c>
    </row>
    <row r="13" spans="1:7" x14ac:dyDescent="0.3">
      <c r="A13" s="56">
        <v>72.7</v>
      </c>
      <c r="B13" s="56">
        <f t="shared" si="2"/>
        <v>945.1</v>
      </c>
      <c r="C13" s="60" t="s">
        <v>51</v>
      </c>
      <c r="D13" s="58">
        <v>0</v>
      </c>
      <c r="E13" s="61"/>
      <c r="F13" s="61"/>
      <c r="G13" s="59">
        <f t="shared" si="3"/>
        <v>0</v>
      </c>
    </row>
    <row r="14" spans="1:7" x14ac:dyDescent="0.3">
      <c r="A14" s="56">
        <v>70.5</v>
      </c>
      <c r="B14" s="56">
        <f t="shared" si="2"/>
        <v>916.5</v>
      </c>
      <c r="C14" s="60" t="s">
        <v>52</v>
      </c>
      <c r="D14" s="58">
        <v>0</v>
      </c>
      <c r="E14" s="61"/>
      <c r="F14" s="61"/>
      <c r="G14" s="59">
        <f t="shared" si="3"/>
        <v>0</v>
      </c>
    </row>
    <row r="15" spans="1:7" x14ac:dyDescent="0.3">
      <c r="A15" s="56">
        <v>68.5</v>
      </c>
      <c r="B15" s="56">
        <f t="shared" si="2"/>
        <v>890.5</v>
      </c>
      <c r="C15" s="60" t="s">
        <v>53</v>
      </c>
      <c r="D15" s="58">
        <v>0</v>
      </c>
      <c r="E15" s="61"/>
      <c r="F15" s="61"/>
      <c r="G15" s="59">
        <f t="shared" si="3"/>
        <v>0</v>
      </c>
    </row>
    <row r="16" spans="1:7" x14ac:dyDescent="0.3">
      <c r="A16" s="56">
        <v>66.900000000000006</v>
      </c>
      <c r="B16" s="56">
        <f t="shared" si="2"/>
        <v>869.7</v>
      </c>
      <c r="C16" s="60" t="s">
        <v>54</v>
      </c>
      <c r="D16" s="58">
        <v>0</v>
      </c>
      <c r="E16" s="61"/>
      <c r="F16" s="61"/>
      <c r="G16" s="59">
        <f t="shared" si="3"/>
        <v>0</v>
      </c>
    </row>
    <row r="17" spans="1:7" x14ac:dyDescent="0.3">
      <c r="A17" s="62"/>
      <c r="B17" s="62"/>
      <c r="C17" s="63" t="s">
        <v>48</v>
      </c>
      <c r="D17" s="63">
        <f>SUM(D11:D16)</f>
        <v>0</v>
      </c>
      <c r="E17" s="65"/>
      <c r="F17" s="65"/>
      <c r="G17" s="66">
        <f>SUM(G11:G16)</f>
        <v>0</v>
      </c>
    </row>
    <row r="18" spans="1:7" x14ac:dyDescent="0.3">
      <c r="A18" s="56">
        <v>89.51</v>
      </c>
      <c r="B18" s="56">
        <f t="shared" ref="B18:B25" si="4">A18*13</f>
        <v>1163.6300000000001</v>
      </c>
      <c r="C18" s="60" t="s">
        <v>55</v>
      </c>
      <c r="D18" s="58">
        <v>0</v>
      </c>
      <c r="E18" s="60" t="s">
        <v>55</v>
      </c>
      <c r="F18" s="58">
        <v>0</v>
      </c>
      <c r="G18" s="59">
        <f t="shared" ref="G18:G25" si="5">(B18-$B$25)*D18+(B18-$B$23)*F18</f>
        <v>0</v>
      </c>
    </row>
    <row r="19" spans="1:7" x14ac:dyDescent="0.3">
      <c r="A19" s="56">
        <v>68.400000000000006</v>
      </c>
      <c r="B19" s="56">
        <f t="shared" si="4"/>
        <v>889.2</v>
      </c>
      <c r="C19" s="60" t="s">
        <v>56</v>
      </c>
      <c r="D19" s="58">
        <v>0</v>
      </c>
      <c r="E19" s="60" t="s">
        <v>56</v>
      </c>
      <c r="F19" s="58">
        <v>0</v>
      </c>
      <c r="G19" s="59">
        <f t="shared" si="5"/>
        <v>0</v>
      </c>
    </row>
    <row r="20" spans="1:7" x14ac:dyDescent="0.3">
      <c r="A20" s="56">
        <v>65.900000000000006</v>
      </c>
      <c r="B20" s="56">
        <f t="shared" si="4"/>
        <v>856.7</v>
      </c>
      <c r="C20" s="60" t="s">
        <v>57</v>
      </c>
      <c r="D20" s="58">
        <v>0</v>
      </c>
      <c r="E20" s="60" t="s">
        <v>57</v>
      </c>
      <c r="F20" s="58">
        <v>0</v>
      </c>
      <c r="G20" s="59">
        <f t="shared" si="5"/>
        <v>0</v>
      </c>
    </row>
    <row r="21" spans="1:7" x14ac:dyDescent="0.3">
      <c r="A21" s="56">
        <v>64.7</v>
      </c>
      <c r="B21" s="56">
        <f t="shared" si="4"/>
        <v>841.1</v>
      </c>
      <c r="C21" s="60" t="s">
        <v>58</v>
      </c>
      <c r="D21" s="58"/>
      <c r="E21" s="60" t="s">
        <v>58</v>
      </c>
      <c r="F21" s="58">
        <v>0</v>
      </c>
      <c r="G21" s="59">
        <f t="shared" si="5"/>
        <v>0</v>
      </c>
    </row>
    <row r="22" spans="1:7" x14ac:dyDescent="0.3">
      <c r="A22" s="56">
        <v>63.7</v>
      </c>
      <c r="B22" s="56">
        <f t="shared" si="4"/>
        <v>828.1</v>
      </c>
      <c r="C22" s="60" t="s">
        <v>59</v>
      </c>
      <c r="D22" s="58">
        <v>0</v>
      </c>
      <c r="E22" s="60" t="s">
        <v>59</v>
      </c>
      <c r="F22" s="58">
        <v>0</v>
      </c>
      <c r="G22" s="59">
        <f t="shared" si="5"/>
        <v>0</v>
      </c>
    </row>
    <row r="23" spans="1:7" x14ac:dyDescent="0.3">
      <c r="A23" s="56">
        <v>62.7</v>
      </c>
      <c r="B23" s="56">
        <f t="shared" si="4"/>
        <v>815.1</v>
      </c>
      <c r="C23" s="60" t="s">
        <v>60</v>
      </c>
      <c r="D23" s="58">
        <v>0</v>
      </c>
      <c r="E23" s="60" t="s">
        <v>61</v>
      </c>
      <c r="F23" s="58">
        <v>0</v>
      </c>
      <c r="G23" s="59">
        <f t="shared" si="5"/>
        <v>0</v>
      </c>
    </row>
    <row r="24" spans="1:7" x14ac:dyDescent="0.3">
      <c r="A24" s="56">
        <v>60.3</v>
      </c>
      <c r="B24" s="56">
        <f t="shared" si="4"/>
        <v>783.9</v>
      </c>
      <c r="C24" s="60" t="s">
        <v>62</v>
      </c>
      <c r="D24" s="58">
        <v>0</v>
      </c>
      <c r="E24" s="61"/>
      <c r="F24" s="61"/>
      <c r="G24" s="59">
        <f t="shared" si="5"/>
        <v>0</v>
      </c>
    </row>
    <row r="25" spans="1:7" x14ac:dyDescent="0.3">
      <c r="A25" s="56">
        <v>59.3</v>
      </c>
      <c r="B25" s="56">
        <f t="shared" si="4"/>
        <v>770.9</v>
      </c>
      <c r="C25" s="60" t="s">
        <v>63</v>
      </c>
      <c r="D25" s="58">
        <v>0</v>
      </c>
      <c r="E25" s="61"/>
      <c r="F25" s="61"/>
      <c r="G25" s="59">
        <f t="shared" si="5"/>
        <v>0</v>
      </c>
    </row>
    <row r="26" spans="1:7" x14ac:dyDescent="0.3">
      <c r="A26" s="62"/>
      <c r="B26" s="62"/>
      <c r="C26" s="63" t="s">
        <v>48</v>
      </c>
      <c r="D26" s="63">
        <f>SUM(D18:D25)</f>
        <v>0</v>
      </c>
      <c r="E26" s="63" t="s">
        <v>48</v>
      </c>
      <c r="F26" s="63">
        <f>SUM(F18:F25)</f>
        <v>0</v>
      </c>
      <c r="G26" s="64">
        <f>SUM(G18:G25)</f>
        <v>0</v>
      </c>
    </row>
    <row r="27" spans="1:7" x14ac:dyDescent="0.3">
      <c r="A27" s="56">
        <v>84.58</v>
      </c>
      <c r="B27" s="56">
        <f t="shared" ref="B27:B32" si="6">A27*13</f>
        <v>1099.54</v>
      </c>
      <c r="C27" s="60" t="s">
        <v>64</v>
      </c>
      <c r="D27" s="58">
        <v>0</v>
      </c>
      <c r="E27" s="61"/>
      <c r="F27" s="61"/>
      <c r="G27" s="59">
        <f t="shared" ref="G27:G32" si="7">(B27-$B$32)*D27</f>
        <v>0</v>
      </c>
    </row>
    <row r="28" spans="1:7" x14ac:dyDescent="0.3">
      <c r="A28" s="56">
        <v>60.4</v>
      </c>
      <c r="B28" s="56">
        <f t="shared" si="6"/>
        <v>785.19999999999993</v>
      </c>
      <c r="C28" s="60" t="s">
        <v>65</v>
      </c>
      <c r="D28" s="58">
        <v>0</v>
      </c>
      <c r="E28" s="61"/>
      <c r="F28" s="61"/>
      <c r="G28" s="59">
        <f t="shared" si="7"/>
        <v>0</v>
      </c>
    </row>
    <row r="29" spans="1:7" x14ac:dyDescent="0.3">
      <c r="A29" s="56">
        <v>59.1</v>
      </c>
      <c r="B29" s="56">
        <f t="shared" si="6"/>
        <v>768.30000000000007</v>
      </c>
      <c r="C29" s="60" t="s">
        <v>66</v>
      </c>
      <c r="D29" s="58">
        <v>0</v>
      </c>
      <c r="E29" s="61"/>
      <c r="F29" s="61"/>
      <c r="G29" s="59">
        <f t="shared" si="7"/>
        <v>0</v>
      </c>
    </row>
    <row r="30" spans="1:7" x14ac:dyDescent="0.3">
      <c r="A30" s="56">
        <v>58.1</v>
      </c>
      <c r="B30" s="56">
        <f t="shared" si="6"/>
        <v>755.30000000000007</v>
      </c>
      <c r="C30" s="60" t="s">
        <v>67</v>
      </c>
      <c r="D30" s="58">
        <v>0</v>
      </c>
      <c r="E30" s="61"/>
      <c r="F30" s="61"/>
      <c r="G30" s="59">
        <f t="shared" si="7"/>
        <v>0</v>
      </c>
    </row>
    <row r="31" spans="1:7" x14ac:dyDescent="0.3">
      <c r="A31" s="56">
        <v>56.9</v>
      </c>
      <c r="B31" s="56">
        <f t="shared" si="6"/>
        <v>739.69999999999993</v>
      </c>
      <c r="C31" s="60" t="s">
        <v>68</v>
      </c>
      <c r="D31" s="58">
        <v>0</v>
      </c>
      <c r="E31" s="61"/>
      <c r="F31" s="61"/>
      <c r="G31" s="59">
        <f t="shared" si="7"/>
        <v>0</v>
      </c>
    </row>
    <row r="32" spans="1:7" x14ac:dyDescent="0.3">
      <c r="A32" s="56">
        <v>56.1</v>
      </c>
      <c r="B32" s="56">
        <f t="shared" si="6"/>
        <v>729.30000000000007</v>
      </c>
      <c r="C32" s="60" t="s">
        <v>69</v>
      </c>
      <c r="D32" s="58">
        <v>0</v>
      </c>
      <c r="E32" s="61"/>
      <c r="F32" s="61"/>
      <c r="G32" s="59">
        <f t="shared" si="7"/>
        <v>0</v>
      </c>
    </row>
    <row r="33" spans="1:7" x14ac:dyDescent="0.3">
      <c r="A33" s="62"/>
      <c r="B33" s="62"/>
      <c r="C33" s="63" t="s">
        <v>48</v>
      </c>
      <c r="D33" s="63">
        <f>SUM(D27:D32)</f>
        <v>0</v>
      </c>
      <c r="E33" s="65"/>
      <c r="F33" s="65"/>
      <c r="G33" s="66">
        <f>SUM(G27:G32)</f>
        <v>0</v>
      </c>
    </row>
    <row r="34" spans="1:7" x14ac:dyDescent="0.3">
      <c r="A34" s="67" t="s">
        <v>70</v>
      </c>
      <c r="B34" s="68"/>
      <c r="C34" s="69" t="s">
        <v>31</v>
      </c>
      <c r="D34" s="70">
        <f>SUM(D33+D26+D17+D10)</f>
        <v>0</v>
      </c>
      <c r="E34" s="69" t="s">
        <v>31</v>
      </c>
      <c r="F34" s="70">
        <f>SUM(F26+F10)</f>
        <v>0</v>
      </c>
      <c r="G34" s="71">
        <f>G10+G17+G26+G33</f>
        <v>0</v>
      </c>
    </row>
    <row r="35" spans="1:7" x14ac:dyDescent="0.3">
      <c r="C35"/>
      <c r="D35"/>
      <c r="E35"/>
      <c r="F35"/>
    </row>
    <row r="36" spans="1:7" x14ac:dyDescent="0.3">
      <c r="C36"/>
      <c r="D36"/>
      <c r="E36"/>
      <c r="F36"/>
    </row>
    <row r="37" spans="1:7" x14ac:dyDescent="0.3">
      <c r="C37"/>
      <c r="D37"/>
      <c r="E37"/>
      <c r="F37"/>
    </row>
    <row r="38" spans="1:7" x14ac:dyDescent="0.3">
      <c r="C38"/>
      <c r="D38"/>
      <c r="E38"/>
      <c r="F38"/>
    </row>
    <row r="39" spans="1:7" x14ac:dyDescent="0.3">
      <c r="C39" s="72"/>
      <c r="D39" s="72"/>
      <c r="E39" s="72"/>
      <c r="F39" s="72"/>
    </row>
    <row r="40" spans="1:7" x14ac:dyDescent="0.3">
      <c r="C40"/>
      <c r="D40"/>
      <c r="E40"/>
      <c r="F40"/>
    </row>
    <row r="41" spans="1:7" x14ac:dyDescent="0.3">
      <c r="C41"/>
      <c r="D41"/>
      <c r="E41"/>
      <c r="F41"/>
    </row>
    <row r="42" spans="1:7" x14ac:dyDescent="0.3">
      <c r="C42"/>
      <c r="D42"/>
      <c r="E42"/>
      <c r="F42"/>
    </row>
    <row r="43" spans="1:7" x14ac:dyDescent="0.3">
      <c r="C43"/>
      <c r="D43"/>
      <c r="E43"/>
      <c r="F43"/>
    </row>
    <row r="44" spans="1:7" x14ac:dyDescent="0.3">
      <c r="C44"/>
      <c r="D44"/>
      <c r="E44"/>
      <c r="F44"/>
    </row>
    <row r="45" spans="1:7" x14ac:dyDescent="0.3">
      <c r="D45"/>
      <c r="E45"/>
      <c r="F45"/>
    </row>
    <row r="46" spans="1:7" x14ac:dyDescent="0.3">
      <c r="D46"/>
      <c r="E46"/>
      <c r="F46"/>
    </row>
  </sheetData>
  <sheetProtection algorithmName="SHA-512" hashValue="qMBxFGXVq8h6jiH3h2zz0+w1os6YVfBQ9MJnp1P5YELgTv9Cx3G1huhsPBLmUUOfAXrql7goTSyklQiXNwyNig==" saltValue="b3FSNhyELCP6cwTV9u88WA==" spinCount="100000" sheet="1" objects="1" scenarios="1"/>
  <protectedRanges>
    <protectedRange sqref="D3:D9 F3:F7 D11:D16 D18:D25 F18:F23 D27:D32" name="Intervallo1_1"/>
  </protectedRanges>
  <mergeCells count="2">
    <mergeCell ref="A1:G1"/>
    <mergeCell ref="A34:B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progressione a regime</vt:lpstr>
      <vt:lpstr>indennità comparto </vt:lpstr>
      <vt:lpstr>differenziali stipendiali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carmignani</dc:creator>
  <cp:lastModifiedBy>simone carmignani</cp:lastModifiedBy>
  <cp:lastPrinted>2023-01-12T11:56:52Z</cp:lastPrinted>
  <dcterms:created xsi:type="dcterms:W3CDTF">2015-06-05T18:19:34Z</dcterms:created>
  <dcterms:modified xsi:type="dcterms:W3CDTF">2023-01-12T12:12:12Z</dcterms:modified>
</cp:coreProperties>
</file>